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5" firstSheet="4" activeTab="24"/>
  </bookViews>
  <sheets>
    <sheet name="Reg" sheetId="1" state="hidden" r:id="rId1"/>
    <sheet name="útmutató" sheetId="2" state="hidden" r:id="rId2"/>
    <sheet name="főkönyv" sheetId="3" state="hidden" r:id="rId3"/>
    <sheet name="x2_oldal" sheetId="4" state="hidden" r:id="rId4"/>
    <sheet name="1. oldal" sheetId="5" r:id="rId5"/>
    <sheet name="2. oldal" sheetId="6" r:id="rId6"/>
    <sheet name="x4_ oldal" sheetId="7" state="hidden" r:id="rId7"/>
    <sheet name="A.LAP" sheetId="8" r:id="rId8"/>
    <sheet name="A.1- LAP" sheetId="9" r:id="rId9"/>
    <sheet name="F_LAPe" sheetId="10" state="hidden" r:id="rId10"/>
    <sheet name="F_LAPp" sheetId="11" state="hidden" r:id="rId11"/>
    <sheet name="Kiegadat" sheetId="12" state="hidden" r:id="rId12"/>
    <sheet name="2013EL" sheetId="13" r:id="rId13"/>
    <sheet name="E_LAP" sheetId="14" r:id="rId14"/>
    <sheet name="F.LAP" sheetId="15" r:id="rId15"/>
    <sheet name="ALVÁLL" sheetId="16" state="hidden" r:id="rId16"/>
    <sheet name="G.LAP" sheetId="17" r:id="rId17"/>
    <sheet name="B_LAP" sheetId="18" r:id="rId18"/>
    <sheet name="C_LAP" sheetId="19" r:id="rId19"/>
    <sheet name="D_LAP" sheetId="20" r:id="rId20"/>
    <sheet name="xF_LAP" sheetId="21" state="hidden" r:id="rId21"/>
    <sheet name="K_LAP" sheetId="22" state="hidden" r:id="rId22"/>
    <sheet name="átv" sheetId="23" r:id="rId23"/>
    <sheet name="Önell" sheetId="24" state="hidden" r:id="rId24"/>
    <sheet name="Útmutató_" sheetId="25" r:id="rId25"/>
    <sheet name="Felt-bev" sheetId="26" state="hidden" r:id="rId26"/>
    <sheet name="alapadatok" sheetId="27" state="hidden" r:id="rId27"/>
    <sheet name="Munka1" sheetId="28" state="hidden" r:id="rId28"/>
  </sheets>
  <definedNames>
    <definedName name="Excel_BuiltIn_Print_Area_2">'útmutató'!#REF!</definedName>
    <definedName name="_xlnm.Print_Area" localSheetId="4">'1. oldal'!$B$1:$AI$131</definedName>
    <definedName name="_xlnm.Print_Area" localSheetId="5">'2. oldal'!$A$1:$P$98</definedName>
    <definedName name="_xlnm.Print_Area" localSheetId="12">'2013EL'!$A$1:$O$92</definedName>
    <definedName name="_xlnm.Print_Area" localSheetId="8">'A.1- LAP'!$A$1:$M$55</definedName>
    <definedName name="_xlnm.Print_Area" localSheetId="7">'A.LAP'!$A$1:$M$46</definedName>
    <definedName name="_xlnm.Print_Area" localSheetId="26">'alapadatok'!$A$1:$R$203</definedName>
    <definedName name="_xlnm.Print_Area" localSheetId="15">'ALVÁLL'!$A$1:$M$42</definedName>
    <definedName name="_xlnm.Print_Area" localSheetId="22">'átv'!$A$1:$M$32</definedName>
    <definedName name="_xlnm.Print_Area" localSheetId="17">'B_LAP'!$A$1:$M$45</definedName>
    <definedName name="_xlnm.Print_Area" localSheetId="18">'C_LAP'!$A$1:$M$43</definedName>
    <definedName name="_xlnm.Print_Area" localSheetId="19">'D_LAP'!$A$1:$M$29</definedName>
    <definedName name="_xlnm.Print_Area" localSheetId="13">'E_LAP'!$A$1:$M$55</definedName>
    <definedName name="_xlnm.Print_Area" localSheetId="14">'F.LAP'!$A$1:$N$55</definedName>
    <definedName name="_xlnm.Print_Area" localSheetId="9">'F_LAPe'!$A$1:$N$56</definedName>
    <definedName name="_xlnm.Print_Area" localSheetId="10">'F_LAPp'!$A$1:$P$55</definedName>
    <definedName name="_xlnm.Print_Area" localSheetId="25">'Felt-bev'!$A$1:$AF$116</definedName>
    <definedName name="_xlnm.Print_Area" localSheetId="2">'főkönyv'!$A$1:$DW$194</definedName>
    <definedName name="_xlnm.Print_Area" localSheetId="16">'G.LAP'!$A$1:$U$55</definedName>
    <definedName name="_xlnm.Print_Area" localSheetId="21">'K_LAP'!$A$1:$O$45</definedName>
    <definedName name="_xlnm.Print_Area" localSheetId="23">'Önell'!$A$1:$M$35</definedName>
    <definedName name="_xlnm.Print_Area" localSheetId="24">'Útmutató_'!$A$1:$J$72</definedName>
    <definedName name="_xlnm.Print_Area" localSheetId="3">'x2_oldal'!$A$15:$AA$54</definedName>
    <definedName name="_xlnm.Print_Area" localSheetId="6">'x4_ oldal'!$A$1:$AD$68</definedName>
    <definedName name="_xlnm.Print_Area" localSheetId="20">'xF_LAP'!$A$1:$M$43</definedName>
  </definedNames>
  <calcPr fullCalcOnLoad="1"/>
</workbook>
</file>

<file path=xl/comments11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J18" authorId="0">
      <text>
        <r>
          <rPr>
            <b/>
            <sz val="8"/>
            <rFont val="Tahoma"/>
            <family val="0"/>
          </rPr>
          <t xml:space="preserve">(10) Az adóalany 2007. január 1-jétől az általa fizetendő tárgyévi helyi iparűzési adó 9%-át, 2008. január 1-jétől 6 %-át közvetlenül az ör. függelékében felsorolt helyi sport, kulturális, oktatási szervezetek és a helyi egészségügyi civil szervezetek, illetve rendezvényeik, valamint önkormányzati intézmény felújítására és önkormányzati útépítés támogatására fordíthatja. A függelék naprakész tartásáról a jegyző gondoskodik.22 
(11)  A (10) bekezdésben meghatározott szervezetek részére megfizetett összeg a helyi iparűzési adóelőleg, illetve végleges adó befizetésével egy időben – 100 Ft-ra kerekítve – vehető figyelembe. A befizetett összeg levonása a támogatott fél igazolása alapján történik, melynek másolatát a levonás igénybevételével egy időben kell megküldeni Makó Város Önkormányzatának jegyzőjéhez.20  </t>
        </r>
      </text>
    </comment>
  </commentList>
</comments>
</file>

<file path=xl/comments13.xml><?xml version="1.0" encoding="utf-8"?>
<comments xmlns="http://schemas.openxmlformats.org/spreadsheetml/2006/main">
  <authors>
    <author>Lafleur</author>
    <author>Gyurik L?szl?</author>
  </authors>
  <commentList>
    <comment ref="H25" authorId="0">
      <text>
        <r>
          <rPr>
            <b/>
            <sz val="8"/>
            <color indexed="10"/>
            <rFont val="Tahoma"/>
            <family val="2"/>
          </rPr>
          <t xml:space="preserve">A külföldi telephelyre jutó adóalapot megosztással tudja mentesíteni.
</t>
        </r>
      </text>
    </comment>
    <comment ref="H37" authorId="1">
      <text>
        <r>
          <rPr>
            <sz val="8"/>
            <rFont val="Tahoma"/>
            <family val="0"/>
          </rPr>
          <t>50 %-os adókedvezmény illet meg minden adózót, akinek az éves állalkozási szintű adóalapja nem haladja meg a 2.500 e Ft-ot .</t>
        </r>
      </text>
    </comment>
  </commentList>
</comments>
</file>

<file path=xl/comments14.xml><?xml version="1.0" encoding="utf-8"?>
<comments xmlns="http://schemas.openxmlformats.org/spreadsheetml/2006/main">
  <authors>
    <author>Lafleur</author>
  </authors>
  <commentList>
    <comment ref="A19" authorId="0">
      <text>
        <r>
          <rPr>
            <b/>
            <sz val="9"/>
            <color indexed="10"/>
            <rFont val="Tahoma"/>
            <family val="2"/>
          </rPr>
          <t>A cellába tegyen X-t, ha Önre ez a pont vonatkozik!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Tahoma"/>
            <family val="2"/>
          </rPr>
          <t>A cellába tegyen X-t, ha Önre ez a pont vonatkozik!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sz val="8"/>
            <color indexed="10"/>
            <rFont val="Tahoma"/>
            <family val="2"/>
          </rPr>
          <t>Számolt mező: AD27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</commentList>
</comments>
</file>

<file path=xl/comments15.xml><?xml version="1.0" encoding="utf-8"?>
<comments xmlns="http://schemas.openxmlformats.org/spreadsheetml/2006/main">
  <authors>
    <author>Gyurik L?szl?</author>
  </authors>
  <commentLis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Gyurik L?szl?</author>
  </authors>
  <commentList>
    <comment ref="D186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Gyurik L?szl?</author>
    <author>Lafleur</author>
  </authors>
  <commentList>
    <comment ref="T41" authorId="0">
      <text>
        <r>
          <rPr>
            <sz val="8"/>
            <rFont val="Tahoma"/>
            <family val="0"/>
          </rPr>
          <t xml:space="preserve">A hónapot számmal írja be!
</t>
        </r>
      </text>
    </comment>
    <comment ref="F41" authorId="0">
      <text>
        <r>
          <rPr>
            <b/>
            <sz val="8"/>
            <rFont val="Tahoma"/>
            <family val="0"/>
          </rPr>
          <t>A hónapot számmal írja be!</t>
        </r>
        <r>
          <rPr>
            <sz val="8"/>
            <rFont val="Tahoma"/>
            <family val="0"/>
          </rPr>
          <t xml:space="preserve">
</t>
        </r>
      </text>
    </comment>
    <comment ref="I82" authorId="1">
      <text>
        <r>
          <rPr>
            <b/>
            <sz val="8"/>
            <color indexed="10"/>
            <rFont val="Tahoma"/>
            <family val="2"/>
          </rPr>
          <t>Ha nincs telephelye írjon be egy szóköz karaktert!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Lafleur</author>
    <author>Gyurik L?szl?</author>
  </authors>
  <commentList>
    <comment ref="H25" authorId="0">
      <text>
        <r>
          <rPr>
            <b/>
            <sz val="8"/>
            <color indexed="10"/>
            <rFont val="Tahoma"/>
            <family val="2"/>
          </rPr>
          <t xml:space="preserve">A külföldi telephelyre jutó adóalapot megosztással tudja mentesíteni.
</t>
        </r>
      </text>
    </comment>
    <comment ref="H45" authorId="0">
      <text>
        <r>
          <rPr>
            <b/>
            <sz val="10"/>
            <color indexed="10"/>
            <rFont val="Tahoma"/>
            <family val="2"/>
          </rPr>
          <t>Adóelőlegre megállapított összeg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color indexed="10"/>
            <rFont val="Tahoma"/>
            <family val="2"/>
          </rPr>
          <t>Egyszerűsített adómegállapítás esetén a 2 - 6 sorokat nem töltheti ki!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color indexed="10"/>
            <rFont val="Tahoma"/>
            <family val="2"/>
          </rPr>
          <t>Egyszerűsített adómegállapítás esetén a 2 - 6 sorokat nem töltheti ki!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color indexed="10"/>
            <rFont val="Tahoma"/>
            <family val="2"/>
          </rPr>
          <t>Egyszerűsített adómegállapítás esetén a 2 - 6 sorokat nem töltheti ki!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color indexed="10"/>
            <rFont val="Tahoma"/>
            <family val="2"/>
          </rPr>
          <t>Egyszerűsített adómegállapítás esetén a 2 - 6 sorokat nem töltheti ki!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color indexed="10"/>
            <rFont val="Tahoma"/>
            <family val="2"/>
          </rPr>
          <t>Egyszerűsített adómegállapítás esetén a 2 - 6 sorokat nem töltheti ki!</t>
        </r>
        <r>
          <rPr>
            <sz val="8"/>
            <rFont val="Tahoma"/>
            <family val="0"/>
          </rPr>
          <t xml:space="preserve">
</t>
        </r>
      </text>
    </comment>
    <comment ref="H37" authorId="1">
      <text>
        <r>
          <rPr>
            <sz val="8"/>
            <rFont val="Tahoma"/>
            <family val="0"/>
          </rPr>
          <t>50 %-os adókedvezmény illet meg minden adózót, akinek az éves állalkozási szintű adóalapja nem haladja meg a 2.500 e Ft-ot .</t>
        </r>
      </text>
    </comment>
    <comment ref="H67" authorId="1">
      <text>
        <r>
          <rPr>
            <sz val="8"/>
            <color indexed="10"/>
            <rFont val="Tahoma"/>
            <family val="2"/>
          </rPr>
          <t>Ha a 2013-ra más adózási módot választott. Pl 2012-ben EVA , 2013-ban KATA, vagy normál , akkor az előlegek összegét írja felül a számítása szerint a VIII 2 és 3 pontokban!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Gyurik L?szl?</author>
  </authors>
  <commentList>
    <comment ref="J18" authorId="0">
      <text>
        <r>
          <rPr>
            <b/>
            <sz val="8"/>
            <color indexed="10"/>
            <rFont val="Tahoma"/>
            <family val="2"/>
          </rPr>
          <t>Normál adómegállapítás esetén az N17 cellába írja az árbevétel összegét!</t>
        </r>
      </text>
    </comment>
  </commentList>
</comments>
</file>

<file path=xl/sharedStrings.xml><?xml version="1.0" encoding="utf-8"?>
<sst xmlns="http://schemas.openxmlformats.org/spreadsheetml/2006/main" count="1599" uniqueCount="903">
  <si>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</si>
  <si>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</si>
  <si>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</si>
  <si>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</si>
  <si>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</si>
  <si>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</si>
  <si>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</si>
  <si>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</si>
  <si>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</si>
  <si>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</si>
  <si>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</si>
  <si>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</si>
  <si>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</si>
  <si>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</si>
  <si>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</si>
  <si>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</si>
  <si>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</si>
  <si>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</si>
  <si>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</si>
  <si>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</si>
  <si>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</si>
  <si>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</si>
  <si>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</si>
  <si>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</si>
  <si>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6 Alapkutatás költsége :</t>
  </si>
  <si>
    <t>Normál adozó esetén az árbevételt írja ide, ez bekerül a 2 mezőbe</t>
  </si>
  <si>
    <t xml:space="preserve">7. Htv. Szerinti - vállalkozási szintű - adóalap                                      [1-(2+3+5+6)]  </t>
  </si>
  <si>
    <t>8. A foglalkoztatás növeléséhez kapcsolódó adóalap-mentesség</t>
  </si>
  <si>
    <t>Korrekciós tételek E lapról</t>
  </si>
  <si>
    <t>Eladott áruk beszerzési értékének, közvetített szolgáltatások értékének figyelembe vehető (a Htv. 39. § (6) bekezdésének
hatálya alá nem tartozó adóalany esetén: „E”lap II/6. sor) együttes</t>
  </si>
  <si>
    <t>Alvállalkozói teljesítések értéke</t>
  </si>
  <si>
    <t>Htv. szerinti - vállalkozási szintű - adóalap [1-(2+3+4+5)
vagy a Htv. 39. § (6) alkalmazása esetén: „E” jelű lap III/10. sor]</t>
  </si>
  <si>
    <t>9. Külföldön létesített telephelyen végzett tevékenységre jutó adóalap mentessége</t>
  </si>
  <si>
    <t>10. A foglalkoztatás csökkentéséhez kapcsolódó adóalap-növekmény</t>
  </si>
  <si>
    <t>11. A Mentességekkel korrigált Htv. Szerinti - a vállalkozási szintű - adóalap [(915-916-917)+918]</t>
  </si>
  <si>
    <t>8 tizedesre kerekítendő</t>
  </si>
  <si>
    <t/>
  </si>
  <si>
    <t>Telephely 119</t>
  </si>
  <si>
    <t>119</t>
  </si>
  <si>
    <t>Telephely 120</t>
  </si>
  <si>
    <t>120</t>
  </si>
  <si>
    <t>Segédlet a 2013-2014 évi előleghez. Ezt a lapot nem kell beadni.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</si>
  <si>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</si>
  <si>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</si>
  <si>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</si>
  <si>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</si>
  <si>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</si>
  <si>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</si>
  <si>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6.1 b</t>
  </si>
  <si>
    <t>Statisztikai létszám</t>
  </si>
  <si>
    <t>6.1/a</t>
  </si>
  <si>
    <t>ha a 6.1 X átalányadó-e? (X)</t>
  </si>
  <si>
    <t>2005. évben:</t>
  </si>
  <si>
    <t>fő</t>
  </si>
  <si>
    <t>6.2/b</t>
  </si>
  <si>
    <t>ha a 6.1/a X átalányadó-e? (X)</t>
  </si>
  <si>
    <t>6.3</t>
  </si>
  <si>
    <t>6.4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</si>
  <si>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</si>
  <si>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</si>
  <si>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</si>
  <si>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</si>
  <si>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</si>
  <si>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</si>
  <si>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</si>
  <si>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</si>
  <si>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</si>
  <si>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</si>
  <si>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</si>
  <si>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2. Számviteli törvény szerint (vállalkozási szintű) éves nettó árbevétel:  (91-93) (EVÁ-s esetén a bruttó árbevétel, átalányadózónál az átalányadó alapja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</si>
  <si>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</si>
  <si>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</si>
  <si>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10.Telefonszáma:</t>
  </si>
  <si>
    <t>9.Bevallást kitöltő neve:</t>
  </si>
  <si>
    <t>Alapkutatás, alkalmazott kutatás, kísérleti fejlesztés adóévben elszámolt közvetlen költsége</t>
  </si>
  <si>
    <t>Az önk. illetékességi területére jutó - a 11. sorban lévő adóalap megosztása szerinti -települési szintű adóalap</t>
  </si>
  <si>
    <t>Az önkormányzati rendelet szerinti adóköteles adóalap(12-13)</t>
  </si>
  <si>
    <r>
      <t>Adóalapra jutó iparűzési adó összege</t>
    </r>
    <r>
      <rPr>
        <sz val="10"/>
        <rFont val="Times New Roman"/>
        <family val="1"/>
      </rPr>
      <t xml:space="preserve"> 14. sor ×</t>
    </r>
  </si>
  <si>
    <t>Különbözet [19 - (20 + 21)]</t>
  </si>
  <si>
    <t>23.</t>
  </si>
  <si>
    <t>(VII. pont 19. sorában szereplő adóösszeg fele)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</si>
  <si>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</si>
  <si>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</si>
  <si>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</si>
  <si>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4. Egyéb szolgáltatások értékeként, illetve egyéb ráfordítások között kimutatott jövedéki adó összege</t>
  </si>
  <si>
    <t>2. Elábé összege (814):</t>
  </si>
  <si>
    <t>3. Közvetített szolgáltatás (815):</t>
  </si>
  <si>
    <t>4. ebből alvállalkozói teljesítmény:</t>
  </si>
  <si>
    <t>5 Anyagköltség (51):</t>
  </si>
  <si>
    <t>B E V A L L Á S</t>
  </si>
  <si>
    <t>állandó jellegű iparűzési tevékenység esetén</t>
  </si>
  <si>
    <t>2. Adószáma:</t>
  </si>
  <si>
    <t>Az adószámot kötőjel és szünet nélkül kell beírni!</t>
  </si>
  <si>
    <t>3. Székhelye:</t>
  </si>
  <si>
    <t>4. A  bevallást kitöltő neve:</t>
  </si>
  <si>
    <t xml:space="preserve">  telefonszáma:</t>
  </si>
  <si>
    <t>II. Adóelőleg-kiegészítés bevallása</t>
  </si>
  <si>
    <t>Az önkormányzatot megillető az adóév utolsó hónapjának 20. napjáig fizetendő adóelőleg-kiegészítés: ( Ft)</t>
  </si>
  <si>
    <t xml:space="preserve">    az adózó vagy képviselője (meghatalmazottja) cégszerű aláírása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</si>
  <si>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</si>
  <si>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</si>
  <si>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</si>
  <si>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</si>
  <si>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</si>
  <si>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</si>
  <si>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I</t>
  </si>
  <si>
    <t>Ft</t>
  </si>
  <si>
    <t>Önellenőrzési pótlék összege:</t>
  </si>
  <si>
    <t>Önkormányzat illetékességi területén</t>
  </si>
  <si>
    <t>folytatott állandó jellegű iparűzési tevékenység utáni adókötelezettségről</t>
  </si>
  <si>
    <t>Szabadszállás Önkormányzat közleményei:</t>
  </si>
  <si>
    <t xml:space="preserve">2., Adókedvezmény: </t>
  </si>
  <si>
    <t xml:space="preserve">    </t>
  </si>
  <si>
    <t xml:space="preserve">  4., Az adó megfizetése:</t>
  </si>
  <si>
    <t xml:space="preserve">       helyi iparűzési adó bevételi számlájára.</t>
  </si>
  <si>
    <t xml:space="preserve">       A pénzforgalmi számlanyitásra kötelezett adózó a fizetési kötelezettségét belföldi pénzforgalmi   </t>
  </si>
  <si>
    <t xml:space="preserve">       számlájáról történő átutalással köteles teljesíteni, a pénzforgalmi számlanyitásra nem kötelezett</t>
  </si>
  <si>
    <t xml:space="preserve">       adózó a fizetési kötelezettségét belföldi fizetési számlájáról történő átutalással, vagy készpénz-</t>
  </si>
  <si>
    <t xml:space="preserve">       átutalási megbízással köteles teljesíteni.</t>
  </si>
  <si>
    <t xml:space="preserve">  5., Szabadszállás Város Polgármesteri Hivatala Pénzügyi Iroda Adóügyi Részlegének </t>
  </si>
  <si>
    <t xml:space="preserve">       ügyfélfogadási ideje:</t>
  </si>
  <si>
    <t>Hétfő:        7.30 - 17.00</t>
  </si>
  <si>
    <t>Szerda:     7.30 - 16.00</t>
  </si>
  <si>
    <t>Csütörtök:  7.30 - 12.00</t>
  </si>
  <si>
    <t xml:space="preserve">  </t>
  </si>
  <si>
    <t>Szabadszállás Polgármesteri Hivatal</t>
  </si>
  <si>
    <r>
      <t xml:space="preserve">                   </t>
    </r>
    <r>
      <rPr>
        <sz val="10"/>
        <color indexed="12"/>
        <rFont val="Arial"/>
        <family val="2"/>
      </rPr>
      <t>Pénzügyi Iroda Adócsoportja</t>
    </r>
  </si>
  <si>
    <r>
      <t xml:space="preserve">                   </t>
    </r>
    <r>
      <rPr>
        <sz val="10"/>
        <color indexed="12"/>
        <rFont val="Arial"/>
        <family val="2"/>
      </rPr>
      <t>Tel.: 76/558-006.</t>
    </r>
  </si>
  <si>
    <t>3., A bevallás benyújtásának határideje: 2013. május 31.</t>
  </si>
  <si>
    <t xml:space="preserve">       A 2012. évi adókülönbözet fizetési kötelezettségét 2013. május 31. napjáig kell teljesíteni </t>
  </si>
  <si>
    <t>Szabadszállás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</si>
  <si>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</si>
  <si>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</si>
  <si>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</si>
  <si>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</si>
  <si>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</si>
  <si>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</si>
  <si>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</si>
  <si>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</si>
  <si>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</si>
  <si>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</si>
  <si>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</si>
  <si>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1.1.</t>
  </si>
  <si>
    <t>Éves bevallás</t>
  </si>
  <si>
    <t>1.2.</t>
  </si>
  <si>
    <t>Záró bevallás</t>
  </si>
  <si>
    <t>1.3.</t>
  </si>
  <si>
    <t>Előtársasági bevallás</t>
  </si>
  <si>
    <t>1.4.</t>
  </si>
  <si>
    <t>Naptári évtől eltérő üzleti évet választó adózó bevallása</t>
  </si>
  <si>
    <t>1.5.</t>
  </si>
  <si>
    <t>Évközben kezdő adózó bevallása</t>
  </si>
  <si>
    <t>1.6.</t>
  </si>
  <si>
    <t>Naptári évtől eltérő üzleti évet választó adózó áttérésének évéről készült évközi bevallása</t>
  </si>
  <si>
    <t>1.7.</t>
  </si>
  <si>
    <t>köv évi%</t>
  </si>
  <si>
    <t>A személyi jövedelemadóról szóló törvény szerint mezőgazdasági őstermelő bevallása</t>
  </si>
  <si>
    <t>1.8.</t>
  </si>
  <si>
    <t xml:space="preserve">A Htv. 37. § (2) b.) pontja alapján állandó jellegű iparűzési tevékenységgé váló 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</si>
  <si>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</si>
  <si>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</si>
  <si>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</si>
  <si>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</si>
  <si>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</si>
  <si>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</si>
  <si>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3.1.</t>
  </si>
  <si>
    <t>Felszámolás</t>
  </si>
  <si>
    <t>3.2.</t>
  </si>
  <si>
    <t>Végelszámolás</t>
  </si>
  <si>
    <t>1., A helyi iparűzési adó mértéke 2012. évben az adóalap 1,7 %-a.</t>
  </si>
  <si>
    <t>3.3.</t>
  </si>
  <si>
    <t>Átalakulás</t>
  </si>
  <si>
    <t>3.4.</t>
  </si>
  <si>
    <t>A tevékenység saját elhatározásból történő megszüntetése</t>
  </si>
  <si>
    <t>3.5.</t>
  </si>
  <si>
    <t>Hatósági megszüntetés</t>
  </si>
  <si>
    <t>3.6.</t>
  </si>
  <si>
    <t>Előtársaságként működő társaság cégbejegyzés iránti kérelmét elutasították</t>
  </si>
  <si>
    <t>vagy kérelmét a bejegyzés előtt visszavonta</t>
  </si>
  <si>
    <t>3.7.</t>
  </si>
  <si>
    <t>Székhely áthelyezése</t>
  </si>
  <si>
    <t>3.8.</t>
  </si>
  <si>
    <t>Telephely megszüntetése</t>
  </si>
  <si>
    <t>3.9.</t>
  </si>
  <si>
    <t>Egyszerűsített vállalkozói adó alanyiság megszüntetése</t>
  </si>
  <si>
    <t>3.10.</t>
  </si>
  <si>
    <t>A település önkormányzat adórendeletének hatályon kívül helyezése</t>
  </si>
  <si>
    <t>3.11.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</si>
  <si>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</si>
  <si>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</si>
  <si>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</si>
  <si>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</si>
  <si>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</si>
  <si>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</si>
  <si>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</si>
  <si>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</si>
  <si>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</si>
  <si>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1.Az adóalany neve (cégneve):</t>
  </si>
  <si>
    <t>2. Születési helye:</t>
  </si>
  <si>
    <t>ideje:</t>
  </si>
  <si>
    <t>3.Anyja neve:</t>
  </si>
  <si>
    <t>4. Adóazonosító jele:</t>
  </si>
  <si>
    <t>Adószáma:</t>
  </si>
  <si>
    <t>5.Statisztikai számjele:</t>
  </si>
  <si>
    <t>6.Pénzintézeti számlaszáma</t>
  </si>
  <si>
    <t>7.Székhelye,lakóhelye:</t>
  </si>
  <si>
    <t xml:space="preserve">  Telephelye:</t>
  </si>
  <si>
    <t>8.Levelezési címe:</t>
  </si>
  <si>
    <t>e-mail címe: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</si>
  <si>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</si>
  <si>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</si>
  <si>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</si>
  <si>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</si>
  <si>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</si>
  <si>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</si>
  <si>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</si>
  <si>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</si>
  <si>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</si>
  <si>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</si>
  <si>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</si>
  <si>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</si>
  <si>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</si>
  <si>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</si>
  <si>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</si>
  <si>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</si>
  <si>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</si>
  <si>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</si>
  <si>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</si>
  <si>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</si>
  <si>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</si>
  <si>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</si>
  <si>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</si>
  <si>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</si>
  <si>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</si>
  <si>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</si>
  <si>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</si>
  <si>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</si>
  <si>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</si>
  <si>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</si>
  <si>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</si>
  <si>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</si>
  <si>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</si>
  <si>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</si>
  <si>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</si>
  <si>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Eladott áruk beszerzési értéke</t>
  </si>
  <si>
    <t>3.</t>
  </si>
  <si>
    <t>Közvetített szolgáltatások értéke</t>
  </si>
  <si>
    <t>4.</t>
  </si>
  <si>
    <t>5.</t>
  </si>
  <si>
    <t>Anyagköltség</t>
  </si>
  <si>
    <t>normál mód</t>
  </si>
  <si>
    <t>eva szerint</t>
  </si>
  <si>
    <t>egyszerűsített mód</t>
  </si>
  <si>
    <t>átalányadó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</si>
  <si>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</si>
  <si>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</si>
  <si>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</si>
  <si>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</si>
  <si>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</si>
  <si>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</si>
  <si>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</si>
  <si>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</si>
  <si>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</si>
  <si>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</si>
  <si>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</si>
  <si>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</si>
  <si>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</si>
  <si>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</si>
  <si>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</si>
  <si>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</si>
  <si>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</si>
  <si>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</si>
  <si>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Önkormányzati döntés szerinti adókedvezmény (Htv. 39/C §-a szerint</t>
  </si>
  <si>
    <t>9241</t>
  </si>
  <si>
    <t>9242</t>
  </si>
  <si>
    <t>9243</t>
  </si>
  <si>
    <t>9244</t>
  </si>
  <si>
    <t>16.</t>
  </si>
  <si>
    <t>Az ideiglenes jellegű iparűzési tevékenység után az adóévben megfizetett és az önkormányzatnál levonható adóátalány összege</t>
  </si>
  <si>
    <t>17.</t>
  </si>
  <si>
    <t>Kerekít 100 Ft-ra?</t>
  </si>
  <si>
    <t>18.</t>
  </si>
  <si>
    <t>kerekít 100 Ft-ra?</t>
  </si>
  <si>
    <t>(I/N)</t>
  </si>
  <si>
    <t>19.</t>
  </si>
  <si>
    <t>A vállalkozási szintű adóalap megosztása</t>
  </si>
  <si>
    <t xml:space="preserve">önkormányzat illetékességi területén folytatott 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</si>
  <si>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</si>
  <si>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</si>
  <si>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</si>
  <si>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</si>
  <si>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A vállalkozási szintű adóalap építőipari és távközlési</t>
  </si>
  <si>
    <t>F pót</t>
  </si>
  <si>
    <t>tevékenység szerinti megosztás alkalmazásához</t>
  </si>
  <si>
    <t>"F pót" jelű kiegészítő lap</t>
  </si>
  <si>
    <t>Adóelőlegre befizetett összeg</t>
  </si>
  <si>
    <t>20.</t>
  </si>
  <si>
    <t>Feltöltési kötelezettség miatt befizetett összeg</t>
  </si>
  <si>
    <t>21.</t>
  </si>
  <si>
    <t>22.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</si>
  <si>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</si>
  <si>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</si>
  <si>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</si>
  <si>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</si>
  <si>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</si>
  <si>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</si>
  <si>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</si>
  <si>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</si>
  <si>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</si>
  <si>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</si>
  <si>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</si>
  <si>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</si>
  <si>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</si>
  <si>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</si>
  <si>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</si>
  <si>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</si>
  <si>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</si>
  <si>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>2012-ben kezdő esetén a napok száma</t>
  </si>
  <si>
    <t>2012 tört év napjai: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</si>
  <si>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</si>
  <si>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</si>
  <si>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</si>
  <si>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</si>
  <si>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</si>
  <si>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t>1. A jelen bevallást ellenjegyzem</t>
  </si>
  <si>
    <t>Jelölje X-szel, ha az adóhatósághoz bejelentett, a bevallás aláírására jogosult állandó meghatalmazott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</si>
  <si>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</si>
  <si>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</si>
  <si>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</si>
  <si>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</si>
  <si>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</si>
  <si>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</si>
  <si>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</si>
  <si>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</si>
  <si>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</si>
  <si>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</si>
  <si>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</si>
  <si>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</si>
  <si>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</si>
  <si>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</si>
  <si>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</si>
  <si>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</si>
  <si>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</si>
  <si>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</si>
  <si>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</si>
  <si>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</si>
  <si>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</si>
  <si>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</si>
  <si>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</si>
  <si>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</si>
  <si>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</si>
  <si>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</si>
  <si>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</si>
  <si>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</si>
  <si>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</si>
  <si>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</si>
  <si>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</si>
  <si>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</si>
  <si>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</si>
  <si>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</si>
  <si>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</si>
  <si>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</si>
  <si>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</si>
  <si>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</si>
  <si>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</si>
  <si>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</si>
  <si>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állandó jellegű iparűzési tevékenység utáni adókötelezettségről</t>
  </si>
  <si>
    <t>"A" jelű betétlap</t>
  </si>
  <si>
    <t>"E" jelű betétlap</t>
  </si>
  <si>
    <t>"F" jelű betétlap</t>
  </si>
  <si>
    <t>"B" jelű betétlap</t>
  </si>
  <si>
    <t>"C" jelű betétlap</t>
  </si>
  <si>
    <t>"D" jelű betétlap</t>
  </si>
  <si>
    <t>Átlagos statisztikai létszám 2012. évben:</t>
  </si>
  <si>
    <t>iparűzési adóbevalláshoz</t>
  </si>
  <si>
    <t>Kommunális beruházás miatt magánszemély által levonható kedvezmény összege:</t>
  </si>
  <si>
    <r>
      <t>Iparűzési adófizetési kötelezettség</t>
    </r>
    <r>
      <rPr>
        <sz val="10"/>
        <rFont val="Times New Roman"/>
        <family val="1"/>
      </rPr>
      <t xml:space="preserve"> [14-(15+16+17)]</t>
    </r>
  </si>
  <si>
    <t>(VII pont 18. sorában szereplő adóösszeg csökkentve a 2013. március 15.-én fizetendő előleggel)</t>
  </si>
  <si>
    <t>(VII. pont 18. sorában szereplő adóösszeg fele)</t>
  </si>
  <si>
    <t>Különbözet [18 - (19 + 20)]</t>
  </si>
  <si>
    <r>
      <t xml:space="preserve">Htv. Szerinti - vállalkozási szintű - adóalap   </t>
    </r>
    <r>
      <rPr>
        <sz val="10"/>
        <rFont val="Times New Roman"/>
        <family val="1"/>
      </rPr>
      <t xml:space="preserve">[1-(2+3+4+5+6)] </t>
    </r>
    <r>
      <rPr>
        <sz val="10"/>
        <color indexed="52"/>
        <rFont val="Times New Roman"/>
        <family val="1"/>
      </rPr>
      <t xml:space="preserve"> </t>
    </r>
  </si>
  <si>
    <t>Irja be ide a 2013.03.15-re előírt összeget!</t>
  </si>
  <si>
    <t>A Htv. szerinti - vállalkozási szintű - éves nettó árbevétel (2-3-4-5-6)</t>
  </si>
  <si>
    <r>
      <t>A számviteli törvény szerinti nettó árbevétel (</t>
    </r>
    <r>
      <rPr>
        <b/>
        <i/>
        <sz val="11"/>
        <rFont val="Times New Roman CE"/>
        <family val="1"/>
      </rPr>
      <t>EVA hatálya alá tartozók esetén Eva alapja, Átalányadózók esetén átalányadó alapja)</t>
    </r>
  </si>
  <si>
    <t>Társasági adóról és az osztalékadóról szóló törvény szerinti jogdíjból származó, árbevételként elszámolt ellenérték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</si>
  <si>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</si>
  <si>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</si>
  <si>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Felszolgálási díj árbevétele</t>
  </si>
  <si>
    <t xml:space="preserve"> az adózó vagy képviselője (meghatalmazottja) aláírása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</si>
  <si>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</si>
  <si>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</si>
  <si>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</si>
  <si>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</si>
  <si>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</si>
  <si>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</si>
  <si>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</si>
  <si>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</si>
  <si>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</si>
  <si>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</si>
  <si>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2.Első előlegrészlet az előlegfizetési időszakban</t>
  </si>
  <si>
    <t>3.A második előlegrészlet az előlegfizetési időszakban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</si>
  <si>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</si>
  <si>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</si>
  <si>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</si>
  <si>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</si>
  <si>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</si>
  <si>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</si>
  <si>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</si>
  <si>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</si>
  <si>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</si>
  <si>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</si>
  <si>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</si>
  <si>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</si>
  <si>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Sorszám</t>
  </si>
  <si>
    <t>Köztartozást nyilvántartó intézmény megnevezése</t>
  </si>
  <si>
    <t>Köztartozás fajtája</t>
  </si>
  <si>
    <t>Összeg ( Ft )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</si>
  <si>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</si>
  <si>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</si>
  <si>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</si>
  <si>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</si>
  <si>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</si>
  <si>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</si>
  <si>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</si>
  <si>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</si>
  <si>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</si>
  <si>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</si>
  <si>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</si>
  <si>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</si>
  <si>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</si>
  <si>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</si>
  <si>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</si>
  <si>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</si>
  <si>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</si>
  <si>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</si>
  <si>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</si>
  <si>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</si>
  <si>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</si>
  <si>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</si>
  <si>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</si>
  <si>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Nem biztosítási tevékenység bevétele, befektetések nettó árbevétele, a Htv. 52.§ 22. C) alponjta szerint egyéb növelő tételek</t>
  </si>
  <si>
    <t>Főkönyvi adatok: (vállalkozás szintű)     A lap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</si>
  <si>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</si>
  <si>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</si>
  <si>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</si>
  <si>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</si>
  <si>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t>http://portal.ksh.hu/pls/portal/vb.teaor_main.gszr_main1</t>
  </si>
  <si>
    <t>ver:2011/30 ceg</t>
  </si>
  <si>
    <t>Figyelem! A nyomtat11.xls-ből munkalapot ne töröljön ki, legfeljebb a lap adatait.(később nem működik majd).</t>
  </si>
  <si>
    <t>Ip bevall megosztás számítás 5-120 telephely</t>
  </si>
  <si>
    <t>www.iparuzes.hu</t>
  </si>
  <si>
    <t>Bankok részére:</t>
  </si>
  <si>
    <t>http://www.iparuzes.hu</t>
  </si>
  <si>
    <t>Ip bevall megosztás számítás 2-120 telephely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</si>
  <si>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</si>
  <si>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</si>
  <si>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</si>
  <si>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</si>
  <si>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</si>
  <si>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</si>
  <si>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</si>
  <si>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r>
      <t>A bevallás sárgával jelölt mezőit kell kitölteni</t>
    </r>
    <r>
      <rPr>
        <sz val="10"/>
        <rFont val="Arial"/>
        <family val="2"/>
      </rPr>
      <t xml:space="preserve">, mert a táblázat-sorozat egyes mezői le vannak védve </t>
    </r>
  </si>
  <si>
    <t>annak érdekében, hogy a véletlen felülírás következtében a táblázat működése ne sérüljön.</t>
  </si>
  <si>
    <t xml:space="preserve">A bevallás teljes kitöltése után a bevallás oldalanként nyomtatható. </t>
  </si>
  <si>
    <t xml:space="preserve">Figyelje a hibaüzeneteket, melyek a kitöltés során hasznos segítséget nyújtanak. </t>
  </si>
  <si>
    <t xml:space="preserve">     azok az adózók vehetik igénybe, akiknek a vállalkozási szintű adóalapja nem haladja meg az </t>
  </si>
  <si>
    <t xml:space="preserve">     1500000 Ft-ot.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</si>
  <si>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</si>
  <si>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</si>
  <si>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</si>
  <si>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Egészségbiztosítási szolgáltatási bevételek</t>
  </si>
  <si>
    <t>Többes ügynöki és az ügynöki tevékenység bevétele</t>
  </si>
  <si>
    <t>tény</t>
  </si>
  <si>
    <t>max</t>
  </si>
  <si>
    <t>(VII pont 19. sorában szereplő adóösszeg csökkentve a 2013. március 18.-án fizetendő előleggel)</t>
  </si>
  <si>
    <t>Egészségbiztosítási szolgáltatási ráfordítások</t>
  </si>
  <si>
    <t xml:space="preserve">                    (cégszerű) aláírás</t>
  </si>
  <si>
    <t>J</t>
  </si>
  <si>
    <t>Átvezetési kérelem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</si>
  <si>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</si>
  <si>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</si>
  <si>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</si>
  <si>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</si>
  <si>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</si>
  <si>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Önellenőrzési jegyzőkönyv</t>
  </si>
  <si>
    <t>A lap jelszó nélkül védett.</t>
  </si>
  <si>
    <t>Az önellenőrzésre az alábbi ok miatt került sor:</t>
  </si>
  <si>
    <t xml:space="preserve">A adóalap megállapítása és megosztása számítási hiba miatt tévesen kerül meghatározásra. </t>
  </si>
  <si>
    <t>A feltárás napja:</t>
  </si>
  <si>
    <t>Kézzel átírható, csak 15 napon belül legyen!!</t>
  </si>
  <si>
    <t>Az önellenőrzés esedékessége:</t>
  </si>
  <si>
    <t>Eredetileg bevallott kötelezettség:</t>
  </si>
  <si>
    <t>Önellenőrzéssel bevallott összeg:</t>
  </si>
  <si>
    <t>Önellenőrzés eredménye: ( + növekedés/ - csökkenés)</t>
  </si>
  <si>
    <t>Önellenőrzési pótlék alapja:</t>
  </si>
  <si>
    <t>H</t>
  </si>
  <si>
    <t>Alvállalkozói teljesítések részletezése</t>
  </si>
  <si>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</si>
  <si>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</si>
  <si>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</si>
  <si>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</si>
  <si>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</si>
  <si>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Alsónémedi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</si>
  <si>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</si>
  <si>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</si>
  <si>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</si>
  <si>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</si>
  <si>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</si>
  <si>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</si>
  <si>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</si>
  <si>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</si>
  <si>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</si>
  <si>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</si>
  <si>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</si>
  <si>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>A/1</t>
  </si>
  <si>
    <t xml:space="preserve">adóévről </t>
  </si>
  <si>
    <t xml:space="preserve">állandó jellegű iparűzési tevékenység utáni adókötelezettségről </t>
  </si>
  <si>
    <t xml:space="preserve">szóló helyi iparűzési adóbevalláshoz </t>
  </si>
  <si>
    <t>Az adó egyszerűsített megállapításának módja</t>
  </si>
  <si>
    <t>"A/1" jelű kiegészítő lap</t>
  </si>
  <si>
    <t>A személyi jövedelemadóról szóló törvény szerinti átalányadózó magánszemélyek</t>
  </si>
  <si>
    <t>A vállalkozó által elért bevétel összege:</t>
  </si>
  <si>
    <t xml:space="preserve">( 1995 .évi CXVII. törvény 51.§-a , a 4. és 10. számú melléklete szerint)  </t>
  </si>
  <si>
    <t>Levonható költséghányad összege:</t>
  </si>
  <si>
    <t xml:space="preserve">( 1995 .évi CXVII. törvény 54.§-a alapján)  </t>
  </si>
  <si>
    <t>A személyi jövedelemadóról szóló törvény szerinti átalányadó alapja ( 1. Sor - 2. Sor)</t>
  </si>
  <si>
    <t>A személyi jövedelemadóról szóló törvény szerinti átalányadó alapjának 20%-a ( 3.sor *0,2)</t>
  </si>
  <si>
    <t>Átalányadózó iparűzési adó alapja:</t>
  </si>
  <si>
    <t>Egyéb adózók ( nem átalányadózó ) iparűzési adójának egyszerűsített meghatározási módja:</t>
  </si>
  <si>
    <t>Helyi adóról szóló 1990. C. törvény szerinti nettó árbevétel:</t>
  </si>
  <si>
    <t>Nettó árbevétel 80%-a: ( 1 sor x 0,8 )</t>
  </si>
  <si>
    <t>Egyszerűsített vállalkozói adó ( EVA) hatálya alá tartozók Iparűzési adójának egyszerűsített meghatározási módja:</t>
  </si>
  <si>
    <t>Egyszerűsített vállalkozói adó alapja:</t>
  </si>
  <si>
    <t>Iparűzési adóalap, az egyszerűsített vállalkozói adó alapjának 50%-a:</t>
  </si>
  <si>
    <t xml:space="preserve"> az adózó vagy képviselője (meghatalmazottja) cégszerű aláírása</t>
  </si>
  <si>
    <t>Ha véletlen kitörölte volna a J18 cella képletét.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</si>
  <si>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</si>
  <si>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</si>
  <si>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</si>
  <si>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</si>
  <si>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</si>
  <si>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</si>
  <si>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</si>
  <si>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</si>
  <si>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</si>
  <si>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</si>
  <si>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</si>
  <si>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</si>
  <si>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</si>
  <si>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</si>
  <si>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</si>
  <si>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</si>
  <si>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</si>
  <si>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</si>
  <si>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</si>
  <si>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adat megadásával nem kell többé a kézi kitöltéssel bajlódni. A táblázat céges ügyfelek bevallásainak</t>
  </si>
  <si>
    <t>K</t>
  </si>
  <si>
    <t>NYILATKOZAT</t>
  </si>
  <si>
    <t>a helyi iparűzési adó meghatározott célú felhasználására</t>
  </si>
  <si>
    <t xml:space="preserve">(azon vállalkozás tölti ki, akinek a helyi iparűzési adóban </t>
  </si>
  <si>
    <t>legalább 100.000 Ft végleges adó fizetési kötelezettsége keletkezett)</t>
  </si>
  <si>
    <t xml:space="preserve">2012. adóévről </t>
  </si>
  <si>
    <t xml:space="preserve">Gyöngyös Város Önkormányzat illetékességi területén folytatott </t>
  </si>
  <si>
    <t>állandó jellegű iparűzési tevékenység utáni adókötelezettségről szóló helyi iparűzési adóbevalláshoz kapcsolódó</t>
  </si>
  <si>
    <r>
      <t xml:space="preserve">„K” </t>
    </r>
    <r>
      <rPr>
        <b/>
        <i/>
        <sz val="12"/>
        <rFont val="Times New Roman"/>
        <family val="1"/>
      </rPr>
      <t>jelű kiegészítő lap</t>
    </r>
  </si>
  <si>
    <t>MAX</t>
  </si>
  <si>
    <t>Iparűzési adófizetési kötelezettség (főbevallás VII/19.sor) összege</t>
  </si>
  <si>
    <t>1.1</t>
  </si>
  <si>
    <t xml:space="preserve">Az 1.pontból az adóalany által ténylegesen befizetett iparűzési adó </t>
  </si>
  <si>
    <t xml:space="preserve">Meghatározott célra felajánlott összeg - befizetett tényleges adó 10 %-a      (1.1 pont x 0,1)  </t>
  </si>
  <si>
    <t>2.1</t>
  </si>
  <si>
    <t>1.000.000 Ft-ot el nem érő, meghatározott célú felajánlás esetében a 2.pont összege, azt meghaladóan maximum 1.000.000 Ft</t>
  </si>
  <si>
    <r>
      <t xml:space="preserve">A hatályos rendeletben meghatározott célokra felajánlott összeg               </t>
    </r>
    <r>
      <rPr>
        <sz val="10"/>
        <rFont val="Times New Roman"/>
        <family val="1"/>
      </rPr>
      <t xml:space="preserve"> (3.1 + 3.2 + 3.3)</t>
    </r>
  </si>
  <si>
    <t>3.1</t>
  </si>
  <si>
    <r>
      <t>Városfejlesztési célra</t>
    </r>
    <r>
      <rPr>
        <sz val="10"/>
        <rFont val="Times New Roman"/>
        <family val="1"/>
      </rPr>
      <t xml:space="preserve"> (legfeljebb a 2.1 pont 85 %-a)                     </t>
    </r>
    <r>
      <rPr>
        <b/>
        <u val="single"/>
        <sz val="10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FIGYELEM!</t>
    </r>
    <r>
      <rPr>
        <sz val="8"/>
        <rFont val="Times New Roman"/>
        <family val="1"/>
      </rPr>
      <t xml:space="preserve">    A 3.1 alpontokban felsorolt célokon belül csak  egy feladat                             jelölhető meg. </t>
    </r>
  </si>
  <si>
    <t>3.1.1</t>
  </si>
  <si>
    <t xml:space="preserve">          Európai uniós és hazai forrásból finanszírozott pályázatokhoz kapcsolódó önerő biztosítása</t>
  </si>
  <si>
    <t>3.1.2</t>
  </si>
  <si>
    <t xml:space="preserve">          Gyöngyös Városkártya-rendszer kialakítása, bevezetése</t>
  </si>
  <si>
    <t xml:space="preserve">          A város területén út-, híd-, járda- és parkoló építése és felújítása</t>
  </si>
  <si>
    <t>3.1.4</t>
  </si>
  <si>
    <t xml:space="preserve">         Kamerás megfigyelőrendszer kiépítése</t>
  </si>
  <si>
    <t>3.2</t>
  </si>
  <si>
    <r>
      <t>Oktatási és pályaválasztási célra</t>
    </r>
    <r>
      <rPr>
        <sz val="10"/>
        <rFont val="Times New Roman"/>
        <family val="1"/>
      </rPr>
      <t xml:space="preserve"> (legfeljebb a 2.1 pont 5 %-a)</t>
    </r>
  </si>
  <si>
    <t>3.3</t>
  </si>
  <si>
    <r>
      <t xml:space="preserve">Önkormányzat </t>
    </r>
    <r>
      <rPr>
        <b/>
        <sz val="10"/>
        <rFont val="Times New Roman"/>
        <family val="1"/>
      </rPr>
      <t>kulturális, sport, egészségügyi</t>
    </r>
    <r>
      <rPr>
        <sz val="10"/>
        <rFont val="Times New Roman"/>
        <family val="1"/>
      </rPr>
      <t xml:space="preserve"> és </t>
    </r>
    <r>
      <rPr>
        <b/>
        <sz val="10"/>
        <rFont val="Times New Roman"/>
        <family val="1"/>
      </rPr>
      <t>szociális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tevékeny- ségének támogatása (legfeljebb a 2.1 pont 10 %-a)              </t>
    </r>
  </si>
  <si>
    <t>3.3.1</t>
  </si>
  <si>
    <t xml:space="preserve">          Gyöngyösi Kulturális és Közgyűjteményi Központ támogatása,           ezen belül a Mátra Művelődési Központ felújítása, a Vachott S.           Városi Könyvtár működtetésének támogatása és a Huszár L.           Éremtár gyarapítása</t>
  </si>
  <si>
    <t>,</t>
  </si>
  <si>
    <t>(cégszerű) aláírás</t>
  </si>
  <si>
    <t>Kiegészítő adatok</t>
  </si>
  <si>
    <t>2010. évben támogatásra fizetett összeg igazolások alapján (max. 6%)</t>
  </si>
  <si>
    <t>Átlagos statisztikai létszám 2011. évben:</t>
  </si>
  <si>
    <t>Vállalkozás ügyvezetője/cégvezetőjének neve:</t>
  </si>
  <si>
    <t xml:space="preserve">                                                     telefonszáma:</t>
  </si>
  <si>
    <t>A lap kitöltése és beadása kötelező</t>
  </si>
  <si>
    <t xml:space="preserve">A Htv. 37. § (2) a.) pontja alapján állandó jellegű iparűzési tevékenységgé váló </t>
  </si>
  <si>
    <t>a helyi iparűzési adóról állandó jellegű iparűzési tevékenység esetén</t>
  </si>
  <si>
    <t>Főlap</t>
  </si>
  <si>
    <t>2012. évben kezdődő adóévben a/az</t>
  </si>
  <si>
    <t>Önkormányzat illetékességi területén folytatott</t>
  </si>
  <si>
    <t>1.9.</t>
  </si>
  <si>
    <t>Önellenőrzés</t>
  </si>
  <si>
    <t>a) a személy jövedelemadóról szóló törvény szerinti átalányadózóként</t>
  </si>
  <si>
    <t>A 2012. adóévre az adóalap egyszerűsített megállapítási módját választom:</t>
  </si>
  <si>
    <t>b) az egyszerűsített vállalkozói adó alanyaként</t>
  </si>
  <si>
    <t>c) egyéb az adóévet megelőző évben 8 millió forintot meg nem haladó nettó árbevételű vállalkozóként</t>
  </si>
  <si>
    <r>
      <t>. évben kezdődő</t>
    </r>
    <r>
      <rPr>
        <sz val="11"/>
        <rFont val="Times New Roman CE"/>
        <family val="1"/>
      </rPr>
      <t xml:space="preserve"> adóévről a/az</t>
    </r>
  </si>
  <si>
    <t xml:space="preserve">Önkormányzat illetékességi területén </t>
  </si>
  <si>
    <t>folytatott állandó jellegű iparűzési tevékenység utáni adókötelezettségről szóló helyi</t>
  </si>
  <si>
    <t>1. Személyi jellegű ráfordítással arányos megosztás</t>
  </si>
  <si>
    <t>2. Eszközérték arányos megosztás</t>
  </si>
  <si>
    <t>3. A Htv. 3. számú melléklet 2.1 pontja szerinti megosztás</t>
  </si>
  <si>
    <r>
      <t xml:space="preserve">. évben kezdődő </t>
    </r>
    <r>
      <rPr>
        <sz val="11"/>
        <rFont val="Times New Roman CE"/>
        <family val="1"/>
      </rPr>
      <t>adóévről a/az</t>
    </r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</si>
  <si>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</si>
  <si>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</si>
  <si>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</si>
  <si>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</si>
  <si>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„G” jelű betétlap</t>
  </si>
  <si>
    <t>. évben kezdődő adóévről a/az</t>
  </si>
  <si>
    <t xml:space="preserve">Önkormányzat illetékességi területén folytatott  </t>
  </si>
  <si>
    <t>állandó jellegű iparűzési tevékenység utáni adókötelezettségről szóló helyi iparűzési adóbevalláshoz</t>
  </si>
  <si>
    <t>Nyilatkozat túlfizetésről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</si>
  <si>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</si>
  <si>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</si>
  <si>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</si>
  <si>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</si>
  <si>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Hitelintézetek és pénzügyi vállalkozások nettó árbevételének a kiszámítása</t>
  </si>
  <si>
    <t>Biztosítók nettó árbevételének a kiszámítása</t>
  </si>
  <si>
    <t>Adóelőleg-számításnál figyelembe veendő vállalkozási szintű adóalap                                     [Főlap VII/1.sor-Főlap VII/4.sor-Főlap VII/5. sor –Főlap VII/6. sor-4. sor]</t>
  </si>
  <si>
    <t>Figyelembe vehető elábé és a közvetített szolgáltatások értékének együttes összege (1.+2.+3.)</t>
  </si>
  <si>
    <t>Az adóalanyra jutó, előlegszámításnál figyelembe veendő vállalkozási szintű adóalap                    [9. sor* (”A” vagy „B” vagy „C” vagy „D” betétlap II/1. sor/1. sor)]</t>
  </si>
  <si>
    <t>Az E lap III / 7 pontja kézzel számolandó, mivel sok egyedi tényező figyelembe vételét igényli.</t>
  </si>
  <si>
    <t>Befektetési vállalkozások nettó árbevételének a kiszámítása</t>
  </si>
  <si>
    <t>A 2013-ban kezdődő adóelőleg-fizetési időszak adóelőleg-bevalláshoz szükséges tájékoztató adatok</t>
  </si>
  <si>
    <t>Nem kell kitölteni a Htv. 39. § (6) bekezdésének hatálya alá nem tartozó, 500 M Ft-ot nem meghaladó nettó árbevételű adóalanynak!</t>
  </si>
  <si>
    <t>II. A Htv. 39. § (6) bekezdésének hatálya alá nem tartozó, 500 M Ft-ot meghaladó nettó árbevételű vállalkozónak kell kitölteni!  (Ft)</t>
  </si>
  <si>
    <t>A Htv. 39. § (7) bekezdése szerinti export árbevételhez kapcsolódó elábé és közvetített szolgáltatások értéke</t>
  </si>
  <si>
    <t>A Htv. 39. § (7) bekezdése szerinti közfinanszírozásban részesülő gyógyszerek értékesítéséhez kapcsolódó elábé</t>
  </si>
  <si>
    <t xml:space="preserve">     2012. évben 50 %-os adókedvezmény illet meg minden adózót, akinek az éves vállalkozási szintű </t>
  </si>
  <si>
    <t xml:space="preserve">     adóalapja nem haladja meg a 2 500 000 Ft-ot. 2013. január 1. napjától az 50%-os adókedvezményt</t>
  </si>
  <si>
    <r>
      <t xml:space="preserve">       Szabadszállás Város Önkormányzatának </t>
    </r>
    <r>
      <rPr>
        <b/>
        <sz val="10"/>
        <rFont val="Arial"/>
        <family val="2"/>
      </rPr>
      <t xml:space="preserve">11732356-15338040-03540000 </t>
    </r>
    <r>
      <rPr>
        <sz val="10"/>
        <rFont val="Arial"/>
        <family val="2"/>
      </rPr>
      <t>számú</t>
    </r>
  </si>
  <si>
    <t>A Htv. 39. § (4)-(5) bekezdése alapján (sávosan) megállapított, levonható elábé és közvetített szolgáltatások értéke együttes összege</t>
  </si>
  <si>
    <t>III. A Htv. 39. § (6) bekezdésének hatálya alá tartozó kapcsolt vállalkozás esetén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</si>
  <si>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</si>
  <si>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</si>
  <si>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</si>
  <si>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Kapcsolt vállalkozás adóalanyok összes közvetített szolgáltatások értéke</t>
  </si>
  <si>
    <t>A 3. és 4. sorból a Htv. 39. § (7) bekezdése szerinti export árbevételhez kapcsolódó összes elábé és közvetített szolgáltatások értéke</t>
  </si>
  <si>
    <t>A 3. sorból a Htv. 39. § (7) bekezdése szerinti közfinanszírozásban részesülő gyógyszerek értékesítéséhez kapcsolódó elábé</t>
  </si>
  <si>
    <t>kapcsolt vállalkozásoknál a Htv. 39. § (4)-(5) bekezdése alapján (sávosan) megállapított, levonható elábé és közvetített szolgáltatások értéke együttes összege</t>
  </si>
  <si>
    <t>Kapcsolt vállalkozás tagjai által összesen figyelembe vehető eladott áruk beszerzési értékének és a közvetített szolgáltatások értékének együttes összege (5.+6+7.)</t>
  </si>
  <si>
    <t>Kapcsolt vállalkozások összesített pozitív előjelű különbözet (adóalap) (1.-2.-8.)</t>
  </si>
  <si>
    <t>500 millió forintot meg nem haladó összegéből az e sávba jutó nettó árbevétel csökkentő összeg egésze,</t>
  </si>
  <si>
    <t>20 milliárd forintot meghaladó, de 80 milliárd forintot</t>
  </si>
  <si>
    <t xml:space="preserve"> 500 millió forintot meghaladó, de 20 milliárd forintot meg nem haladó</t>
  </si>
  <si>
    <t>80 milliárd forintot meghaladó összegéből az e sávba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</si>
  <si>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</si>
  <si>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</si>
  <si>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</si>
  <si>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</si>
  <si>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kell( illetve lehet) adatot feltüntetni.</t>
  </si>
  <si>
    <t xml:space="preserve">Amennyiben minden szükséges adat feltöltésre került, ezen a lapon kell 1-el jelölni a nyomtatni kívánt </t>
  </si>
  <si>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</si>
  <si>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</si>
  <si>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</si>
  <si>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</si>
  <si>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</si>
  <si>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</si>
  <si>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</si>
  <si>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Mentességekkel csökkentett Htv. Szerinti - a vállalkozási szintű - adóalap    [7-8+9]</t>
  </si>
  <si>
    <t>Az önk. illetékességi területére jutó - a 10. sorban lévő adóalap megosztása szerinti -települési szintű adóalap</t>
  </si>
  <si>
    <t>Az önkormányzati rendelet szerinti adóköteles adóalap(11-12)</t>
  </si>
  <si>
    <r>
      <t>Adóalapra jutó iparűzési adó összege</t>
    </r>
    <r>
      <rPr>
        <sz val="10"/>
        <rFont val="Times New Roman"/>
        <family val="1"/>
      </rPr>
      <t xml:space="preserve"> 13. sor ×</t>
    </r>
  </si>
  <si>
    <t>Külföldön létesített telephelyre jutó adóalap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</si>
  <si>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</si>
  <si>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</si>
  <si>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</si>
  <si>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</si>
  <si>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</si>
  <si>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</si>
  <si>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</si>
  <si>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</si>
  <si>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</si>
  <si>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</si>
  <si>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</si>
  <si>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</si>
  <si>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</si>
  <si>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</si>
  <si>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</si>
  <si>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helyi iparűzési adó előlegének kiegészítéséről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</si>
  <si>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</si>
  <si>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</si>
  <si>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</si>
  <si>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1</t>
  </si>
  <si>
    <t>göd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</si>
  <si>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</si>
  <si>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</si>
  <si>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</si>
  <si>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</si>
  <si>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</si>
  <si>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</si>
  <si>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</si>
  <si>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>a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</si>
  <si>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</si>
  <si>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</si>
  <si>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</si>
  <si>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</si>
  <si>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</si>
  <si>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</si>
  <si>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</si>
  <si>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</si>
  <si>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</si>
  <si>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>az alábbi mail címen jelezze, hogy javíthassuk!</t>
  </si>
  <si>
    <t>Tel.: 06-30-486-1779</t>
  </si>
  <si>
    <t>Köszönettel: fejlesztők</t>
  </si>
  <si>
    <t>Megrendelhető: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</si>
  <si>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</si>
  <si>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</si>
  <si>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</si>
  <si>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</si>
  <si>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</si>
  <si>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</si>
  <si>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</si>
  <si>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</si>
  <si>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</si>
  <si>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</si>
  <si>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</si>
  <si>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</si>
  <si>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</si>
  <si>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http://portal.ksh.hu/pls/portal/vb.teaor_main.gszr_main2?tsz=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</si>
  <si>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</si>
  <si>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</si>
  <si>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</si>
  <si>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</si>
  <si>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</si>
  <si>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</si>
  <si>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</si>
  <si>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</si>
  <si>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</si>
  <si>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</si>
  <si>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</si>
  <si>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</si>
  <si>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</si>
  <si>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</si>
  <si>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</si>
  <si>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</si>
  <si>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</si>
  <si>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</si>
  <si>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</si>
  <si>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</si>
  <si>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</si>
  <si>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</si>
  <si>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</si>
  <si>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</si>
  <si>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</si>
  <si>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</si>
  <si>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</si>
  <si>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</si>
  <si>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</si>
  <si>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</si>
  <si>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</si>
  <si>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</si>
  <si>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</si>
  <si>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</si>
  <si>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</si>
  <si>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</si>
  <si>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</si>
  <si>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</si>
  <si>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Ha a 2. lap 4. sorában adat szerepel akkor ezen lap kitöltése kötelező.</t>
  </si>
  <si>
    <t>Adóelőlegre magállapított összeg</t>
  </si>
  <si>
    <t>ver:2013/1 onk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</si>
  <si>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</si>
  <si>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</si>
  <si>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</si>
  <si>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</si>
  <si>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</si>
  <si>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</si>
  <si>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</si>
  <si>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</si>
  <si>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</si>
  <si>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</si>
  <si>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</si>
  <si>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</si>
  <si>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</si>
  <si>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</si>
  <si>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</si>
  <si>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</si>
  <si>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</si>
  <si>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</si>
  <si>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</si>
  <si>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</si>
  <si>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</si>
  <si>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</si>
  <si>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</si>
  <si>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</si>
  <si>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</si>
  <si>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</si>
  <si>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</si>
  <si>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</si>
  <si>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</si>
  <si>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</si>
  <si>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</si>
  <si>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</si>
  <si>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</si>
  <si>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</si>
  <si>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</si>
  <si>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</si>
  <si>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</si>
  <si>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</si>
  <si>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</si>
  <si>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</si>
  <si>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</si>
  <si>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</si>
  <si>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</si>
  <si>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2011.-ben EVA alany (igen=X)</t>
  </si>
  <si>
    <t>40</t>
  </si>
  <si>
    <t>A cella értéke a főkönyv lap 176.- sora</t>
  </si>
  <si>
    <t>Telephely 67</t>
  </si>
  <si>
    <t>Telephely 68</t>
  </si>
  <si>
    <t>Telephely 69</t>
  </si>
  <si>
    <t>Telephely 70</t>
  </si>
  <si>
    <t>Telephely 71</t>
  </si>
  <si>
    <t xml:space="preserve">2011. adóévben a/az  </t>
  </si>
  <si>
    <t>Egyéni vállalkozói tevékenység szüneteltetése</t>
  </si>
  <si>
    <t>3.12.</t>
  </si>
  <si>
    <t>Közüzemi és távközlési szolgáltató nem töltheti ki.</t>
  </si>
  <si>
    <t>Hibalista</t>
  </si>
  <si>
    <t>x</t>
  </si>
  <si>
    <t>2011-re egyszerűsített adómagállapítás egyéb (X)</t>
  </si>
  <si>
    <t>2012-re egyszerűsített magáll. (X)</t>
  </si>
  <si>
    <t>2012.-ben EVA alany (igen=X)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</si>
  <si>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</si>
  <si>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</si>
  <si>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</si>
  <si>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</si>
  <si>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</si>
  <si>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</si>
  <si>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</si>
  <si>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Mentességekkel csökkentett Htv. Szerinti - a vállalkozási szintű - adóalap    [7-8+10]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</si>
  <si>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</si>
  <si>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</si>
  <si>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2.b  A 2012 évre az adóalap egyszerűsített megállapítási módját választom. (egyéb)</t>
  </si>
  <si>
    <t xml:space="preserve">4.  A 2012 évre, mint az egyszerűsített vállalkozói adó alanya az adóalap egyszerűsített </t>
  </si>
  <si>
    <t>www.iparuzes.hu                   .</t>
  </si>
  <si>
    <t>16. A 15. sorból az önormányzat illetékességi területén található számlázási cím szerinti vezeték nélküli távközlési tevékenységet igénybe vevő előfizetők száma</t>
  </si>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</sst>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0.0000000"/>
    <numFmt numFmtId="171" formatCode="yyyy\.mm\.dd;@"/>
    <numFmt numFmtId="172" formatCode="_-* #,##0.00\ _F_t_-;\-* #,##0.00\ _F_t_-;_-* \-??\ _F_t_-;_-@_-"/>
    <numFmt numFmtId="173" formatCode="_-* #,##0\ _F_t_-;\-* #,##0\ _F_t_-;_-* \-??\ _F_t_-;_-@_-"/>
    <numFmt numFmtId="174" formatCode="#,##0&quot; Ft&quot;"/>
    <numFmt numFmtId="175" formatCode="0.000000"/>
    <numFmt numFmtId="176" formatCode="#,##0.00&quot; Ft&quot;"/>
    <numFmt numFmtId="177" formatCode="000000\-0\-00"/>
    <numFmt numFmtId="178" formatCode="#,##0\ &quot;Ft&quot;"/>
    <numFmt numFmtId="179" formatCode="#,##0.000"/>
    <numFmt numFmtId="180" formatCode="mmm/yyyy"/>
    <numFmt numFmtId="181" formatCode="#,##0.000000"/>
  </numFmts>
  <fonts count="1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20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b/>
      <sz val="18"/>
      <name val="Times New Roman CE"/>
      <family val="1"/>
    </font>
    <font>
      <b/>
      <sz val="8"/>
      <name val="Tahoma"/>
      <family val="2"/>
    </font>
    <font>
      <sz val="6"/>
      <name val="Times New Roman CE"/>
      <family val="1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10"/>
      <color indexed="4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u val="single"/>
      <sz val="10"/>
      <color indexed="36"/>
      <name val="Arial"/>
      <family val="2"/>
    </font>
    <font>
      <u val="single"/>
      <sz val="7"/>
      <color indexed="12"/>
      <name val="Arial"/>
      <family val="2"/>
    </font>
    <font>
      <sz val="11"/>
      <color indexed="12"/>
      <name val="Times New Roman"/>
      <family val="1"/>
    </font>
    <font>
      <sz val="8"/>
      <color indexed="10"/>
      <name val="Times New Roman CE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55"/>
      <name val="Times New Roman CE"/>
      <family val="1"/>
    </font>
    <font>
      <sz val="10"/>
      <color indexed="55"/>
      <name val="Times New Roman CE"/>
      <family val="1"/>
    </font>
    <font>
      <sz val="11"/>
      <color indexed="55"/>
      <name val="Times New Roman CE"/>
      <family val="1"/>
    </font>
    <font>
      <b/>
      <u val="single"/>
      <sz val="10"/>
      <color indexed="12"/>
      <name val="Arial"/>
      <family val="2"/>
    </font>
    <font>
      <b/>
      <u val="single"/>
      <sz val="10"/>
      <name val="Times New Roman CE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2.5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color indexed="57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 CE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b/>
      <sz val="14"/>
      <color indexed="10"/>
      <name val="Times New Roman"/>
      <family val="1"/>
    </font>
    <font>
      <b/>
      <sz val="10"/>
      <color indexed="22"/>
      <name val="Arial"/>
      <family val="2"/>
    </font>
    <font>
      <b/>
      <sz val="6"/>
      <name val="Times New Roman CE"/>
      <family val="1"/>
    </font>
    <font>
      <b/>
      <sz val="10"/>
      <color indexed="10"/>
      <name val="Tahoma"/>
      <family val="2"/>
    </font>
    <font>
      <sz val="11"/>
      <color indexed="41"/>
      <name val="Times New Roman CE"/>
      <family val="1"/>
    </font>
    <font>
      <b/>
      <sz val="14"/>
      <color indexed="9"/>
      <name val="Times New Roman CE"/>
      <family val="1"/>
    </font>
    <font>
      <sz val="12"/>
      <color indexed="10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"/>
      <family val="2"/>
    </font>
    <font>
      <sz val="12"/>
      <color indexed="12"/>
      <name val="Times New Roman"/>
      <family val="1"/>
    </font>
    <font>
      <sz val="11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648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3" applyNumberFormat="1" applyFont="1" applyFill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0" fillId="23" borderId="0" xfId="0" applyFont="1" applyFill="1" applyAlignment="1" applyProtection="1">
      <alignment/>
      <protection hidden="1"/>
    </xf>
    <xf numFmtId="0" fontId="33" fillId="23" borderId="0" xfId="0" applyFont="1" applyFill="1" applyAlignment="1" applyProtection="1">
      <alignment horizontal="center"/>
      <protection hidden="1"/>
    </xf>
    <xf numFmtId="0" fontId="31" fillId="23" borderId="0" xfId="0" applyFont="1" applyFill="1" applyAlignment="1" applyProtection="1">
      <alignment horizontal="right"/>
      <protection hidden="1"/>
    </xf>
    <xf numFmtId="0" fontId="34" fillId="23" borderId="0" xfId="56" applyFont="1" applyFill="1" applyBorder="1" applyAlignment="1" applyProtection="1">
      <alignment horizontal="left"/>
      <protection hidden="1"/>
    </xf>
    <xf numFmtId="0" fontId="14" fillId="23" borderId="10" xfId="56" applyFill="1" applyBorder="1" applyAlignment="1" applyProtection="1">
      <alignment horizontal="left"/>
      <protection hidden="1"/>
    </xf>
    <xf numFmtId="0" fontId="0" fillId="23" borderId="0" xfId="57" applyFont="1" applyFill="1" applyProtection="1">
      <alignment/>
      <protection hidden="1"/>
    </xf>
    <xf numFmtId="0" fontId="0" fillId="23" borderId="0" xfId="0" applyFont="1" applyFill="1" applyBorder="1" applyAlignment="1" applyProtection="1">
      <alignment horizontal="center"/>
      <protection hidden="1"/>
    </xf>
    <xf numFmtId="0" fontId="0" fillId="23" borderId="0" xfId="57" applyFont="1" applyFill="1" applyBorder="1" applyAlignment="1" applyProtection="1">
      <alignment/>
      <protection hidden="1"/>
    </xf>
    <xf numFmtId="0" fontId="0" fillId="23" borderId="0" xfId="57" applyFont="1" applyFill="1" applyBorder="1" applyAlignment="1" applyProtection="1">
      <alignment horizontal="center"/>
      <protection hidden="1"/>
    </xf>
    <xf numFmtId="0" fontId="0" fillId="23" borderId="0" xfId="0" applyFont="1" applyFill="1" applyBorder="1" applyAlignment="1" applyProtection="1">
      <alignment/>
      <protection hidden="1"/>
    </xf>
    <xf numFmtId="0" fontId="0" fillId="23" borderId="11" xfId="0" applyFont="1" applyFill="1" applyBorder="1" applyAlignment="1" applyProtection="1">
      <alignment/>
      <protection hidden="1"/>
    </xf>
    <xf numFmtId="0" fontId="26" fillId="23" borderId="0" xfId="0" applyFont="1" applyFill="1" applyAlignment="1" applyProtection="1">
      <alignment/>
      <protection hidden="1"/>
    </xf>
    <xf numFmtId="0" fontId="35" fillId="23" borderId="0" xfId="0" applyFont="1" applyFill="1" applyBorder="1" applyAlignment="1" applyProtection="1">
      <alignment horizontal="center" vertical="center" textRotation="90" wrapText="1"/>
      <protection hidden="1"/>
    </xf>
    <xf numFmtId="0" fontId="0" fillId="23" borderId="0" xfId="0" applyFont="1" applyFill="1" applyAlignment="1" applyProtection="1">
      <alignment horizontal="center"/>
      <protection hidden="1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/>
      <protection hidden="1"/>
    </xf>
    <xf numFmtId="49" fontId="0" fillId="23" borderId="11" xfId="0" applyNumberFormat="1" applyFont="1" applyFill="1" applyBorder="1" applyAlignment="1" applyProtection="1">
      <alignment/>
      <protection hidden="1"/>
    </xf>
    <xf numFmtId="0" fontId="0" fillId="23" borderId="0" xfId="0" applyFont="1" applyFill="1" applyBorder="1" applyAlignment="1" applyProtection="1">
      <alignment horizontal="left"/>
      <protection hidden="1"/>
    </xf>
    <xf numFmtId="166" fontId="38" fillId="23" borderId="0" xfId="0" applyNumberFormat="1" applyFont="1" applyFill="1" applyAlignment="1" applyProtection="1">
      <alignment/>
      <protection hidden="1"/>
    </xf>
    <xf numFmtId="0" fontId="25" fillId="23" borderId="11" xfId="0" applyFont="1" applyFill="1" applyBorder="1" applyAlignment="1" applyProtection="1">
      <alignment horizontal="center"/>
      <protection hidden="1"/>
    </xf>
    <xf numFmtId="0" fontId="37" fillId="23" borderId="0" xfId="0" applyFont="1" applyFill="1" applyAlignment="1" applyProtection="1">
      <alignment horizontal="center" vertical="center"/>
      <protection hidden="1"/>
    </xf>
    <xf numFmtId="10" fontId="0" fillId="23" borderId="0" xfId="64" applyNumberFormat="1" applyFont="1" applyFill="1" applyBorder="1" applyAlignment="1" applyProtection="1">
      <alignment/>
      <protection hidden="1"/>
    </xf>
    <xf numFmtId="1" fontId="0" fillId="23" borderId="0" xfId="0" applyNumberFormat="1" applyFont="1" applyFill="1" applyAlignment="1" applyProtection="1">
      <alignment/>
      <protection hidden="1"/>
    </xf>
    <xf numFmtId="0" fontId="23" fillId="23" borderId="0" xfId="0" applyFont="1" applyFill="1" applyBorder="1" applyAlignment="1" applyProtection="1">
      <alignment horizontal="left"/>
      <protection hidden="1"/>
    </xf>
    <xf numFmtId="0" fontId="25" fillId="23" borderId="0" xfId="0" applyFont="1" applyFill="1" applyBorder="1" applyAlignment="1" applyProtection="1">
      <alignment horizontal="center"/>
      <protection hidden="1"/>
    </xf>
    <xf numFmtId="0" fontId="38" fillId="23" borderId="0" xfId="0" applyFont="1" applyFill="1" applyBorder="1" applyAlignment="1" applyProtection="1">
      <alignment/>
      <protection hidden="1"/>
    </xf>
    <xf numFmtId="49" fontId="22" fillId="23" borderId="0" xfId="0" applyNumberFormat="1" applyFont="1" applyFill="1" applyAlignment="1" applyProtection="1">
      <alignment horizontal="center" vertical="center"/>
      <protection hidden="1"/>
    </xf>
    <xf numFmtId="0" fontId="39" fillId="23" borderId="0" xfId="0" applyFont="1" applyFill="1" applyBorder="1" applyAlignment="1" applyProtection="1">
      <alignment/>
      <protection hidden="1"/>
    </xf>
    <xf numFmtId="0" fontId="39" fillId="23" borderId="0" xfId="0" applyFont="1" applyFill="1" applyBorder="1" applyAlignment="1" applyProtection="1">
      <alignment wrapText="1"/>
      <protection hidden="1"/>
    </xf>
    <xf numFmtId="49" fontId="22" fillId="23" borderId="0" xfId="0" applyNumberFormat="1" applyFont="1" applyFill="1" applyAlignment="1" applyProtection="1">
      <alignment horizontal="center"/>
      <protection hidden="1"/>
    </xf>
    <xf numFmtId="0" fontId="40" fillId="23" borderId="0" xfId="0" applyFont="1" applyFill="1" applyBorder="1" applyAlignment="1" applyProtection="1">
      <alignment horizontal="right"/>
      <protection hidden="1"/>
    </xf>
    <xf numFmtId="0" fontId="22" fillId="23" borderId="0" xfId="0" applyFont="1" applyFill="1" applyAlignment="1" applyProtection="1">
      <alignment/>
      <protection hidden="1"/>
    </xf>
    <xf numFmtId="0" fontId="22" fillId="23" borderId="0" xfId="0" applyFont="1" applyFill="1" applyBorder="1" applyAlignment="1" applyProtection="1">
      <alignment/>
      <protection hidden="1"/>
    </xf>
    <xf numFmtId="0" fontId="23" fillId="23" borderId="0" xfId="0" applyFont="1" applyFill="1" applyAlignment="1" applyProtection="1">
      <alignment/>
      <protection hidden="1"/>
    </xf>
    <xf numFmtId="0" fontId="31" fillId="23" borderId="0" xfId="0" applyFont="1" applyFill="1" applyAlignment="1" applyProtection="1">
      <alignment horizontal="left" shrinkToFit="1"/>
      <protection hidden="1"/>
    </xf>
    <xf numFmtId="0" fontId="31" fillId="23" borderId="0" xfId="0" applyFont="1" applyFill="1" applyAlignment="1" applyProtection="1">
      <alignment horizontal="center"/>
      <protection hidden="1"/>
    </xf>
    <xf numFmtId="0" fontId="31" fillId="23" borderId="0" xfId="0" applyFont="1" applyFill="1" applyAlignment="1" applyProtection="1">
      <alignment horizontal="left"/>
      <protection hidden="1"/>
    </xf>
    <xf numFmtId="0" fontId="23" fillId="23" borderId="0" xfId="0" applyFont="1" applyFill="1" applyAlignment="1" applyProtection="1">
      <alignment horizontal="center"/>
      <protection hidden="1"/>
    </xf>
    <xf numFmtId="0" fontId="33" fillId="23" borderId="0" xfId="0" applyFont="1" applyFill="1" applyBorder="1" applyAlignment="1" applyProtection="1">
      <alignment horizontal="left"/>
      <protection hidden="1"/>
    </xf>
    <xf numFmtId="0" fontId="41" fillId="23" borderId="12" xfId="0" applyFont="1" applyFill="1" applyBorder="1" applyAlignment="1" applyProtection="1">
      <alignment horizontal="left"/>
      <protection hidden="1"/>
    </xf>
    <xf numFmtId="0" fontId="41" fillId="23" borderId="13" xfId="0" applyFont="1" applyFill="1" applyBorder="1" applyAlignment="1" applyProtection="1">
      <alignment horizontal="left"/>
      <protection hidden="1"/>
    </xf>
    <xf numFmtId="0" fontId="0" fillId="23" borderId="14" xfId="0" applyFont="1" applyFill="1" applyBorder="1" applyAlignment="1" applyProtection="1">
      <alignment horizontal="center"/>
      <protection hidden="1"/>
    </xf>
    <xf numFmtId="0" fontId="26" fillId="23" borderId="0" xfId="0" applyFont="1" applyFill="1" applyAlignment="1" applyProtection="1">
      <alignment horizontal="center"/>
      <protection hidden="1"/>
    </xf>
    <xf numFmtId="168" fontId="42" fillId="23" borderId="0" xfId="59" applyNumberFormat="1" applyFont="1" applyFill="1" applyBorder="1" applyAlignment="1" applyProtection="1">
      <alignment vertical="center" wrapText="1"/>
      <protection hidden="1"/>
    </xf>
    <xf numFmtId="168" fontId="23" fillId="23" borderId="0" xfId="59" applyNumberFormat="1" applyFont="1" applyFill="1" applyBorder="1" applyAlignment="1" applyProtection="1">
      <alignment vertical="center" wrapText="1"/>
      <protection locked="0"/>
    </xf>
    <xf numFmtId="168" fontId="23" fillId="23" borderId="0" xfId="59" applyNumberFormat="1" applyFont="1" applyFill="1" applyBorder="1" applyAlignment="1" applyProtection="1">
      <alignment vertical="center" wrapText="1"/>
      <protection hidden="1"/>
    </xf>
    <xf numFmtId="0" fontId="23" fillId="23" borderId="0" xfId="0" applyFont="1" applyFill="1" applyBorder="1" applyAlignment="1" applyProtection="1">
      <alignment horizontal="center"/>
      <protection hidden="1"/>
    </xf>
    <xf numFmtId="3" fontId="43" fillId="23" borderId="0" xfId="0" applyNumberFormat="1" applyFont="1" applyFill="1" applyAlignment="1" applyProtection="1">
      <alignment horizontal="right" shrinkToFit="1"/>
      <protection hidden="1"/>
    </xf>
    <xf numFmtId="0" fontId="43" fillId="23" borderId="0" xfId="0" applyFont="1" applyFill="1" applyAlignment="1" applyProtection="1">
      <alignment/>
      <protection hidden="1"/>
    </xf>
    <xf numFmtId="0" fontId="22" fillId="4" borderId="15" xfId="0" applyFont="1" applyFill="1" applyBorder="1" applyAlignment="1" applyProtection="1">
      <alignment horizontal="left" wrapText="1"/>
      <protection hidden="1"/>
    </xf>
    <xf numFmtId="0" fontId="22" fillId="4" borderId="16" xfId="0" applyFont="1" applyFill="1" applyBorder="1" applyAlignment="1" applyProtection="1">
      <alignment horizontal="left" wrapText="1"/>
      <protection hidden="1"/>
    </xf>
    <xf numFmtId="1" fontId="0" fillId="23" borderId="0" xfId="0" applyNumberFormat="1" applyFont="1" applyFill="1" applyBorder="1" applyAlignment="1" applyProtection="1">
      <alignment horizontal="center"/>
      <protection hidden="1"/>
    </xf>
    <xf numFmtId="0" fontId="0" fillId="23" borderId="0" xfId="0" applyFont="1" applyFill="1" applyAlignment="1" applyProtection="1">
      <alignment vertical="center"/>
      <protection hidden="1"/>
    </xf>
    <xf numFmtId="3" fontId="23" fillId="23" borderId="0" xfId="0" applyNumberFormat="1" applyFont="1" applyFill="1" applyBorder="1" applyAlignment="1" applyProtection="1">
      <alignment horizontal="right"/>
      <protection hidden="1"/>
    </xf>
    <xf numFmtId="0" fontId="23" fillId="23" borderId="0" xfId="0" applyFont="1" applyFill="1" applyAlignment="1" applyProtection="1">
      <alignment horizontal="center" vertical="center"/>
      <protection hidden="1"/>
    </xf>
    <xf numFmtId="0" fontId="25" fillId="4" borderId="17" xfId="0" applyFont="1" applyFill="1" applyBorder="1" applyAlignment="1" applyProtection="1">
      <alignment horizontal="left" vertical="center"/>
      <protection hidden="1"/>
    </xf>
    <xf numFmtId="0" fontId="0" fillId="23" borderId="18" xfId="0" applyFont="1" applyFill="1" applyBorder="1" applyAlignment="1" applyProtection="1">
      <alignment horizontal="center" vertical="center"/>
      <protection hidden="1"/>
    </xf>
    <xf numFmtId="0" fontId="22" fillId="4" borderId="19" xfId="0" applyFont="1" applyFill="1" applyBorder="1" applyAlignment="1" applyProtection="1">
      <alignment horizontal="center" vertical="center"/>
      <protection hidden="1"/>
    </xf>
    <xf numFmtId="0" fontId="22" fillId="4" borderId="20" xfId="0" applyFont="1" applyFill="1" applyBorder="1" applyAlignment="1" applyProtection="1">
      <alignment horizontal="center" vertical="center"/>
      <protection hidden="1"/>
    </xf>
    <xf numFmtId="3" fontId="23" fillId="23" borderId="0" xfId="0" applyNumberFormat="1" applyFont="1" applyFill="1" applyAlignment="1" applyProtection="1">
      <alignment horizontal="right"/>
      <protection hidden="1"/>
    </xf>
    <xf numFmtId="0" fontId="22" fillId="4" borderId="20" xfId="0" applyFont="1" applyFill="1" applyBorder="1" applyAlignment="1" applyProtection="1">
      <alignment horizontal="left"/>
      <protection hidden="1"/>
    </xf>
    <xf numFmtId="0" fontId="22" fillId="23" borderId="21" xfId="0" applyFont="1" applyFill="1" applyBorder="1" applyAlignment="1" applyProtection="1">
      <alignment horizontal="center"/>
      <protection hidden="1"/>
    </xf>
    <xf numFmtId="3" fontId="22" fillId="0" borderId="19" xfId="0" applyNumberFormat="1" applyFont="1" applyFill="1" applyBorder="1" applyAlignment="1" applyProtection="1">
      <alignment horizontal="center"/>
      <protection locked="0"/>
    </xf>
    <xf numFmtId="3" fontId="22" fillId="0" borderId="22" xfId="0" applyNumberFormat="1" applyFont="1" applyFill="1" applyBorder="1" applyAlignment="1" applyProtection="1">
      <alignment horizontal="center"/>
      <protection locked="0"/>
    </xf>
    <xf numFmtId="3" fontId="22" fillId="0" borderId="23" xfId="0" applyNumberFormat="1" applyFont="1" applyFill="1" applyBorder="1" applyAlignment="1" applyProtection="1">
      <alignment horizontal="center"/>
      <protection locked="0"/>
    </xf>
    <xf numFmtId="3" fontId="22" fillId="23" borderId="14" xfId="0" applyNumberFormat="1" applyFont="1" applyFill="1" applyBorder="1" applyAlignment="1" applyProtection="1">
      <alignment horizontal="right"/>
      <protection hidden="1"/>
    </xf>
    <xf numFmtId="0" fontId="22" fillId="4" borderId="24" xfId="0" applyFont="1" applyFill="1" applyBorder="1" applyAlignment="1" applyProtection="1">
      <alignment horizontal="left"/>
      <protection hidden="1"/>
    </xf>
    <xf numFmtId="0" fontId="22" fillId="23" borderId="25" xfId="0" applyFont="1" applyFill="1" applyBorder="1" applyAlignment="1" applyProtection="1">
      <alignment horizontal="center"/>
      <protection hidden="1"/>
    </xf>
    <xf numFmtId="3" fontId="22" fillId="0" borderId="26" xfId="0" applyNumberFormat="1" applyFont="1" applyFill="1" applyBorder="1" applyAlignment="1" applyProtection="1">
      <alignment horizontal="center"/>
      <protection locked="0"/>
    </xf>
    <xf numFmtId="3" fontId="22" fillId="0" borderId="27" xfId="0" applyNumberFormat="1" applyFont="1" applyFill="1" applyBorder="1" applyAlignment="1" applyProtection="1">
      <alignment horizontal="center"/>
      <protection locked="0"/>
    </xf>
    <xf numFmtId="3" fontId="22" fillId="0" borderId="28" xfId="0" applyNumberFormat="1" applyFont="1" applyFill="1" applyBorder="1" applyAlignment="1" applyProtection="1">
      <alignment horizontal="center"/>
      <protection locked="0"/>
    </xf>
    <xf numFmtId="3" fontId="22" fillId="23" borderId="29" xfId="0" applyNumberFormat="1" applyFont="1" applyFill="1" applyBorder="1" applyAlignment="1" applyProtection="1">
      <alignment horizontal="right"/>
      <protection hidden="1"/>
    </xf>
    <xf numFmtId="49" fontId="22" fillId="4" borderId="30" xfId="0" applyNumberFormat="1" applyFont="1" applyFill="1" applyBorder="1" applyAlignment="1" applyProtection="1">
      <alignment horizontal="center" vertical="center"/>
      <protection hidden="1"/>
    </xf>
    <xf numFmtId="49" fontId="22" fillId="4" borderId="31" xfId="0" applyNumberFormat="1" applyFont="1" applyFill="1" applyBorder="1" applyAlignment="1" applyProtection="1">
      <alignment horizontal="center" vertical="center"/>
      <protection hidden="1"/>
    </xf>
    <xf numFmtId="0" fontId="22" fillId="4" borderId="31" xfId="0" applyNumberFormat="1" applyFont="1" applyFill="1" applyBorder="1" applyAlignment="1" applyProtection="1">
      <alignment horizontal="center" vertical="center"/>
      <protection hidden="1"/>
    </xf>
    <xf numFmtId="0" fontId="22" fillId="4" borderId="17" xfId="0" applyFont="1" applyFill="1" applyBorder="1" applyAlignment="1" applyProtection="1">
      <alignment horizontal="center" vertical="center"/>
      <protection hidden="1"/>
    </xf>
    <xf numFmtId="0" fontId="0" fillId="23" borderId="32" xfId="0" applyFont="1" applyFill="1" applyBorder="1" applyAlignment="1" applyProtection="1">
      <alignment/>
      <protection hidden="1"/>
    </xf>
    <xf numFmtId="0" fontId="22" fillId="23" borderId="32" xfId="0" applyFont="1" applyFill="1" applyBorder="1" applyAlignment="1" applyProtection="1">
      <alignment horizontal="center"/>
      <protection hidden="1"/>
    </xf>
    <xf numFmtId="0" fontId="0" fillId="23" borderId="0" xfId="0" applyFont="1" applyFill="1" applyAlignment="1" applyProtection="1">
      <alignment/>
      <protection hidden="1"/>
    </xf>
    <xf numFmtId="0" fontId="0" fillId="4" borderId="33" xfId="0" applyFont="1" applyFill="1" applyBorder="1" applyAlignment="1" applyProtection="1">
      <alignment/>
      <protection hidden="1"/>
    </xf>
    <xf numFmtId="0" fontId="0" fillId="4" borderId="33" xfId="0" applyFont="1" applyFill="1" applyBorder="1" applyAlignment="1" applyProtection="1">
      <alignment horizontal="center"/>
      <protection hidden="1"/>
    </xf>
    <xf numFmtId="0" fontId="22" fillId="4" borderId="17" xfId="0" applyFont="1" applyFill="1" applyBorder="1" applyAlignment="1" applyProtection="1">
      <alignment horizontal="center"/>
      <protection hidden="1"/>
    </xf>
    <xf numFmtId="0" fontId="22" fillId="0" borderId="34" xfId="0" applyFont="1" applyFill="1" applyBorder="1" applyAlignment="1" applyProtection="1">
      <alignment/>
      <protection locked="0"/>
    </xf>
    <xf numFmtId="0" fontId="22" fillId="0" borderId="35" xfId="0" applyFont="1" applyFill="1" applyBorder="1" applyAlignment="1" applyProtection="1">
      <alignment/>
      <protection locked="0"/>
    </xf>
    <xf numFmtId="3" fontId="22" fillId="0" borderId="36" xfId="0" applyNumberFormat="1" applyFont="1" applyFill="1" applyBorder="1" applyAlignment="1" applyProtection="1">
      <alignment/>
      <protection locked="0"/>
    </xf>
    <xf numFmtId="3" fontId="22" fillId="23" borderId="34" xfId="0" applyNumberFormat="1" applyFont="1" applyFill="1" applyBorder="1" applyAlignment="1" applyProtection="1">
      <alignment/>
      <protection hidden="1"/>
    </xf>
    <xf numFmtId="0" fontId="22" fillId="0" borderId="37" xfId="0" applyFont="1" applyFill="1" applyBorder="1" applyAlignment="1" applyProtection="1">
      <alignment/>
      <protection locked="0"/>
    </xf>
    <xf numFmtId="0" fontId="22" fillId="0" borderId="38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0" fontId="22" fillId="0" borderId="24" xfId="0" applyFont="1" applyFill="1" applyBorder="1" applyAlignment="1" applyProtection="1">
      <alignment/>
      <protection locked="0"/>
    </xf>
    <xf numFmtId="0" fontId="22" fillId="0" borderId="39" xfId="0" applyFont="1" applyFill="1" applyBorder="1" applyAlignment="1" applyProtection="1">
      <alignment/>
      <protection locked="0"/>
    </xf>
    <xf numFmtId="3" fontId="22" fillId="0" borderId="16" xfId="0" applyNumberFormat="1" applyFont="1" applyFill="1" applyBorder="1" applyAlignment="1" applyProtection="1">
      <alignment/>
      <protection locked="0"/>
    </xf>
    <xf numFmtId="0" fontId="25" fillId="4" borderId="40" xfId="0" applyFont="1" applyFill="1" applyBorder="1" applyAlignment="1" applyProtection="1">
      <alignment horizontal="left" vertical="center"/>
      <protection hidden="1"/>
    </xf>
    <xf numFmtId="0" fontId="0" fillId="23" borderId="41" xfId="0" applyFont="1" applyFill="1" applyBorder="1" applyAlignment="1" applyProtection="1">
      <alignment horizontal="center" vertical="center"/>
      <protection hidden="1"/>
    </xf>
    <xf numFmtId="0" fontId="22" fillId="4" borderId="22" xfId="0" applyFont="1" applyFill="1" applyBorder="1" applyAlignment="1" applyProtection="1">
      <alignment horizontal="center" vertical="center"/>
      <protection hidden="1"/>
    </xf>
    <xf numFmtId="0" fontId="22" fillId="4" borderId="40" xfId="0" applyFont="1" applyFill="1" applyBorder="1" applyAlignment="1" applyProtection="1">
      <alignment horizontal="center" vertical="center"/>
      <protection hidden="1"/>
    </xf>
    <xf numFmtId="0" fontId="25" fillId="4" borderId="42" xfId="0" applyFont="1" applyFill="1" applyBorder="1" applyAlignment="1" applyProtection="1">
      <alignment horizontal="left" vertical="center"/>
      <protection hidden="1"/>
    </xf>
    <xf numFmtId="0" fontId="0" fillId="23" borderId="39" xfId="0" applyFont="1" applyFill="1" applyBorder="1" applyAlignment="1" applyProtection="1">
      <alignment horizontal="center" vertical="center"/>
      <protection hidden="1"/>
    </xf>
    <xf numFmtId="0" fontId="0" fillId="23" borderId="13" xfId="0" applyFont="1" applyFill="1" applyBorder="1" applyAlignment="1" applyProtection="1">
      <alignment horizontal="center" vertical="center"/>
      <protection hidden="1"/>
    </xf>
    <xf numFmtId="0" fontId="22" fillId="4" borderId="43" xfId="0" applyFont="1" applyFill="1" applyBorder="1" applyAlignment="1" applyProtection="1">
      <alignment horizontal="center" vertical="center"/>
      <protection hidden="1"/>
    </xf>
    <xf numFmtId="0" fontId="22" fillId="4" borderId="14" xfId="0" applyFont="1" applyFill="1" applyBorder="1" applyAlignment="1" applyProtection="1">
      <alignment horizontal="center" vertical="center"/>
      <protection hidden="1"/>
    </xf>
    <xf numFmtId="0" fontId="25" fillId="4" borderId="24" xfId="0" applyFont="1" applyFill="1" applyBorder="1" applyAlignment="1" applyProtection="1">
      <alignment horizontal="left" vertical="center"/>
      <protection hidden="1"/>
    </xf>
    <xf numFmtId="0" fontId="0" fillId="23" borderId="25" xfId="0" applyFont="1" applyFill="1" applyBorder="1" applyAlignment="1" applyProtection="1">
      <alignment horizontal="center" vertical="center"/>
      <protection hidden="1"/>
    </xf>
    <xf numFmtId="0" fontId="22" fillId="4" borderId="44" xfId="0" applyFont="1" applyFill="1" applyBorder="1" applyAlignment="1" applyProtection="1">
      <alignment horizontal="center" vertical="center"/>
      <protection hidden="1"/>
    </xf>
    <xf numFmtId="0" fontId="22" fillId="4" borderId="45" xfId="0" applyFont="1" applyFill="1" applyBorder="1" applyAlignment="1" applyProtection="1">
      <alignment horizontal="center" vertical="center"/>
      <protection hidden="1"/>
    </xf>
    <xf numFmtId="0" fontId="22" fillId="4" borderId="29" xfId="0" applyFont="1" applyFill="1" applyBorder="1" applyAlignment="1" applyProtection="1">
      <alignment horizontal="center" vertical="center"/>
      <protection hidden="1"/>
    </xf>
    <xf numFmtId="0" fontId="22" fillId="0" borderId="34" xfId="0" applyFont="1" applyFill="1" applyBorder="1" applyAlignment="1" applyProtection="1">
      <alignment shrinkToFit="1"/>
      <protection locked="0"/>
    </xf>
    <xf numFmtId="0" fontId="22" fillId="0" borderId="24" xfId="0" applyFont="1" applyFill="1" applyBorder="1" applyAlignment="1" applyProtection="1">
      <alignment wrapText="1"/>
      <protection locked="0"/>
    </xf>
    <xf numFmtId="0" fontId="22" fillId="0" borderId="39" xfId="0" applyFont="1" applyFill="1" applyBorder="1" applyAlignment="1" applyProtection="1">
      <alignment wrapText="1"/>
      <protection locked="0"/>
    </xf>
    <xf numFmtId="0" fontId="22" fillId="4" borderId="42" xfId="0" applyFont="1" applyFill="1" applyBorder="1" applyAlignment="1" applyProtection="1">
      <alignment horizontal="center" vertical="center"/>
      <protection hidden="1"/>
    </xf>
    <xf numFmtId="0" fontId="25" fillId="4" borderId="24" xfId="0" applyFont="1" applyFill="1" applyBorder="1" applyAlignment="1" applyProtection="1">
      <alignment horizontal="left" vertical="center" wrapText="1"/>
      <protection hidden="1"/>
    </xf>
    <xf numFmtId="0" fontId="0" fillId="0" borderId="32" xfId="0" applyFont="1" applyFill="1" applyBorder="1" applyAlignment="1" applyProtection="1">
      <alignment shrinkToFit="1"/>
      <protection locked="0"/>
    </xf>
    <xf numFmtId="0" fontId="0" fillId="0" borderId="46" xfId="0" applyFont="1" applyFill="1" applyBorder="1" applyAlignment="1" applyProtection="1">
      <alignment/>
      <protection locked="0"/>
    </xf>
    <xf numFmtId="3" fontId="22" fillId="0" borderId="47" xfId="0" applyNumberFormat="1" applyFont="1" applyFill="1" applyBorder="1" applyAlignment="1" applyProtection="1">
      <alignment/>
      <protection locked="0"/>
    </xf>
    <xf numFmtId="3" fontId="22" fillId="23" borderId="32" xfId="0" applyNumberFormat="1" applyFont="1" applyFill="1" applyBorder="1" applyAlignment="1" applyProtection="1">
      <alignment/>
      <protection hidden="1"/>
    </xf>
    <xf numFmtId="0" fontId="0" fillId="23" borderId="48" xfId="0" applyFont="1" applyFill="1" applyBorder="1" applyAlignment="1" applyProtection="1">
      <alignment horizontal="center" vertical="center"/>
      <protection hidden="1"/>
    </xf>
    <xf numFmtId="3" fontId="22" fillId="23" borderId="0" xfId="64" applyNumberFormat="1" applyFont="1" applyFill="1" applyBorder="1" applyAlignment="1" applyProtection="1">
      <alignment horizontal="right"/>
      <protection hidden="1"/>
    </xf>
    <xf numFmtId="49" fontId="44" fillId="23" borderId="34" xfId="0" applyNumberFormat="1" applyFont="1" applyFill="1" applyBorder="1" applyAlignment="1" applyProtection="1">
      <alignment vertical="top" shrinkToFit="1"/>
      <protection hidden="1"/>
    </xf>
    <xf numFmtId="0" fontId="22" fillId="23" borderId="35" xfId="0" applyFont="1" applyFill="1" applyBorder="1" applyAlignment="1" applyProtection="1">
      <alignment/>
      <protection hidden="1"/>
    </xf>
    <xf numFmtId="49" fontId="44" fillId="23" borderId="37" xfId="0" applyNumberFormat="1" applyFont="1" applyFill="1" applyBorder="1" applyAlignment="1" applyProtection="1">
      <alignment vertical="top" shrinkToFit="1"/>
      <protection hidden="1"/>
    </xf>
    <xf numFmtId="0" fontId="22" fillId="23" borderId="38" xfId="0" applyFont="1" applyFill="1" applyBorder="1" applyAlignment="1" applyProtection="1">
      <alignment/>
      <protection hidden="1"/>
    </xf>
    <xf numFmtId="49" fontId="44" fillId="23" borderId="24" xfId="0" applyNumberFormat="1" applyFont="1" applyFill="1" applyBorder="1" applyAlignment="1" applyProtection="1">
      <alignment vertical="top" shrinkToFit="1"/>
      <protection hidden="1"/>
    </xf>
    <xf numFmtId="0" fontId="22" fillId="23" borderId="48" xfId="0" applyFont="1" applyFill="1" applyBorder="1" applyAlignment="1" applyProtection="1">
      <alignment/>
      <protection hidden="1"/>
    </xf>
    <xf numFmtId="3" fontId="22" fillId="0" borderId="27" xfId="0" applyNumberFormat="1" applyFont="1" applyFill="1" applyBorder="1" applyAlignment="1" applyProtection="1">
      <alignment/>
      <protection locked="0"/>
    </xf>
    <xf numFmtId="3" fontId="22" fillId="23" borderId="0" xfId="0" applyNumberFormat="1" applyFont="1" applyFill="1" applyAlignment="1" applyProtection="1">
      <alignment/>
      <protection hidden="1"/>
    </xf>
    <xf numFmtId="10" fontId="23" fillId="23" borderId="0" xfId="0" applyNumberFormat="1" applyFont="1" applyFill="1" applyAlignment="1" applyProtection="1">
      <alignment horizontal="right"/>
      <protection hidden="1"/>
    </xf>
    <xf numFmtId="0" fontId="22" fillId="23" borderId="34" xfId="0" applyFont="1" applyFill="1" applyBorder="1" applyAlignment="1" applyProtection="1">
      <alignment/>
      <protection hidden="1"/>
    </xf>
    <xf numFmtId="10" fontId="22" fillId="23" borderId="36" xfId="0" applyNumberFormat="1" applyFont="1" applyFill="1" applyBorder="1" applyAlignment="1" applyProtection="1">
      <alignment/>
      <protection hidden="1"/>
    </xf>
    <xf numFmtId="3" fontId="22" fillId="23" borderId="40" xfId="64" applyNumberFormat="1" applyFont="1" applyFill="1" applyBorder="1" applyAlignment="1" applyProtection="1">
      <alignment horizontal="right"/>
      <protection hidden="1"/>
    </xf>
    <xf numFmtId="0" fontId="22" fillId="23" borderId="37" xfId="0" applyFont="1" applyFill="1" applyBorder="1" applyAlignment="1" applyProtection="1">
      <alignment/>
      <protection hidden="1"/>
    </xf>
    <xf numFmtId="3" fontId="22" fillId="23" borderId="11" xfId="0" applyNumberFormat="1" applyFont="1" applyFill="1" applyBorder="1" applyAlignment="1" applyProtection="1">
      <alignment/>
      <protection hidden="1"/>
    </xf>
    <xf numFmtId="3" fontId="22" fillId="23" borderId="49" xfId="0" applyNumberFormat="1" applyFont="1" applyFill="1" applyBorder="1" applyAlignment="1" applyProtection="1">
      <alignment/>
      <protection hidden="1"/>
    </xf>
    <xf numFmtId="3" fontId="22" fillId="23" borderId="37" xfId="64" applyNumberFormat="1" applyFont="1" applyFill="1" applyBorder="1" applyAlignment="1" applyProtection="1">
      <alignment horizontal="right"/>
      <protection hidden="1"/>
    </xf>
    <xf numFmtId="0" fontId="22" fillId="23" borderId="42" xfId="0" applyFont="1" applyFill="1" applyBorder="1" applyAlignment="1" applyProtection="1">
      <alignment/>
      <protection hidden="1"/>
    </xf>
    <xf numFmtId="0" fontId="22" fillId="23" borderId="39" xfId="0" applyFont="1" applyFill="1" applyBorder="1" applyAlignment="1" applyProtection="1">
      <alignment/>
      <protection hidden="1"/>
    </xf>
    <xf numFmtId="3" fontId="22" fillId="23" borderId="16" xfId="0" applyNumberFormat="1" applyFont="1" applyFill="1" applyBorder="1" applyAlignment="1" applyProtection="1">
      <alignment/>
      <protection hidden="1"/>
    </xf>
    <xf numFmtId="3" fontId="22" fillId="23" borderId="24" xfId="64" applyNumberFormat="1" applyFont="1" applyFill="1" applyBorder="1" applyAlignment="1" applyProtection="1">
      <alignment horizontal="right"/>
      <protection hidden="1"/>
    </xf>
    <xf numFmtId="49" fontId="44" fillId="23" borderId="40" xfId="0" applyNumberFormat="1" applyFont="1" applyFill="1" applyBorder="1" applyAlignment="1" applyProtection="1">
      <alignment vertical="top" shrinkToFit="1"/>
      <protection hidden="1"/>
    </xf>
    <xf numFmtId="0" fontId="22" fillId="23" borderId="41" xfId="0" applyFont="1" applyFill="1" applyBorder="1" applyAlignment="1" applyProtection="1">
      <alignment/>
      <protection hidden="1"/>
    </xf>
    <xf numFmtId="3" fontId="22" fillId="0" borderId="22" xfId="0" applyNumberFormat="1" applyFont="1" applyFill="1" applyBorder="1" applyAlignment="1" applyProtection="1">
      <alignment/>
      <protection locked="0"/>
    </xf>
    <xf numFmtId="3" fontId="22" fillId="23" borderId="34" xfId="64" applyNumberFormat="1" applyFont="1" applyFill="1" applyBorder="1" applyAlignment="1" applyProtection="1">
      <alignment horizontal="right"/>
      <protection hidden="1"/>
    </xf>
    <xf numFmtId="0" fontId="22" fillId="23" borderId="42" xfId="0" applyFont="1" applyFill="1" applyBorder="1" applyAlignment="1" applyProtection="1">
      <alignment shrinkToFit="1"/>
      <protection hidden="1"/>
    </xf>
    <xf numFmtId="0" fontId="22" fillId="23" borderId="17" xfId="0" applyFont="1" applyFill="1" applyBorder="1" applyAlignment="1" applyProtection="1">
      <alignment/>
      <protection hidden="1"/>
    </xf>
    <xf numFmtId="0" fontId="22" fillId="23" borderId="18" xfId="0" applyFont="1" applyFill="1" applyBorder="1" applyAlignment="1" applyProtection="1">
      <alignment/>
      <protection hidden="1"/>
    </xf>
    <xf numFmtId="3" fontId="22" fillId="23" borderId="30" xfId="0" applyNumberFormat="1" applyFont="1" applyFill="1" applyBorder="1" applyAlignment="1" applyProtection="1">
      <alignment/>
      <protection hidden="1"/>
    </xf>
    <xf numFmtId="3" fontId="22" fillId="23" borderId="17" xfId="64" applyNumberFormat="1" applyFont="1" applyFill="1" applyBorder="1" applyAlignment="1" applyProtection="1">
      <alignment horizontal="right"/>
      <protection hidden="1"/>
    </xf>
    <xf numFmtId="3" fontId="22" fillId="0" borderId="30" xfId="0" applyNumberFormat="1" applyFont="1" applyFill="1" applyBorder="1" applyAlignment="1" applyProtection="1">
      <alignment horizontal="right"/>
      <protection locked="0"/>
    </xf>
    <xf numFmtId="0" fontId="22" fillId="23" borderId="40" xfId="0" applyFont="1" applyFill="1" applyBorder="1" applyAlignment="1" applyProtection="1">
      <alignment/>
      <protection hidden="1"/>
    </xf>
    <xf numFmtId="3" fontId="22" fillId="23" borderId="22" xfId="0" applyNumberFormat="1" applyFont="1" applyFill="1" applyBorder="1" applyAlignment="1" applyProtection="1">
      <alignment/>
      <protection hidden="1"/>
    </xf>
    <xf numFmtId="3" fontId="22" fillId="23" borderId="42" xfId="64" applyNumberFormat="1" applyFont="1" applyFill="1" applyBorder="1" applyAlignment="1" applyProtection="1">
      <alignment horizontal="right"/>
      <protection hidden="1"/>
    </xf>
    <xf numFmtId="0" fontId="22" fillId="0" borderId="30" xfId="0" applyFont="1" applyFill="1" applyBorder="1" applyAlignment="1" applyProtection="1">
      <alignment/>
      <protection locked="0"/>
    </xf>
    <xf numFmtId="0" fontId="22" fillId="0" borderId="31" xfId="0" applyFont="1" applyFill="1" applyBorder="1" applyAlignment="1" applyProtection="1">
      <alignment/>
      <protection locked="0"/>
    </xf>
    <xf numFmtId="0" fontId="22" fillId="0" borderId="33" xfId="0" applyFont="1" applyFill="1" applyBorder="1" applyAlignment="1" applyProtection="1">
      <alignment/>
      <protection locked="0"/>
    </xf>
    <xf numFmtId="3" fontId="45" fillId="4" borderId="20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23" borderId="50" xfId="0" applyFont="1" applyFill="1" applyBorder="1" applyAlignment="1" applyProtection="1">
      <alignment/>
      <protection hidden="1"/>
    </xf>
    <xf numFmtId="0" fontId="23" fillId="23" borderId="21" xfId="0" applyFont="1" applyFill="1" applyBorder="1" applyAlignment="1" applyProtection="1">
      <alignment/>
      <protection hidden="1"/>
    </xf>
    <xf numFmtId="3" fontId="46" fillId="0" borderId="23" xfId="0" applyNumberFormat="1" applyFont="1" applyFill="1" applyBorder="1" applyAlignment="1" applyProtection="1">
      <alignment shrinkToFit="1"/>
      <protection hidden="1"/>
    </xf>
    <xf numFmtId="0" fontId="23" fillId="23" borderId="51" xfId="0" applyFont="1" applyFill="1" applyBorder="1" applyAlignment="1" applyProtection="1">
      <alignment/>
      <protection hidden="1"/>
    </xf>
    <xf numFmtId="0" fontId="23" fillId="23" borderId="0" xfId="0" applyFont="1" applyFill="1" applyBorder="1" applyAlignment="1" applyProtection="1">
      <alignment/>
      <protection hidden="1"/>
    </xf>
    <xf numFmtId="3" fontId="46" fillId="0" borderId="52" xfId="0" applyNumberFormat="1" applyFont="1" applyFill="1" applyBorder="1" applyAlignment="1" applyProtection="1">
      <alignment shrinkToFit="1"/>
      <protection hidden="1"/>
    </xf>
    <xf numFmtId="0" fontId="23" fillId="23" borderId="44" xfId="0" applyFont="1" applyFill="1" applyBorder="1" applyAlignment="1" applyProtection="1">
      <alignment/>
      <protection hidden="1"/>
    </xf>
    <xf numFmtId="0" fontId="23" fillId="23" borderId="45" xfId="0" applyFont="1" applyFill="1" applyBorder="1" applyAlignment="1" applyProtection="1">
      <alignment/>
      <protection hidden="1"/>
    </xf>
    <xf numFmtId="3" fontId="46" fillId="0" borderId="28" xfId="0" applyNumberFormat="1" applyFont="1" applyFill="1" applyBorder="1" applyAlignment="1" applyProtection="1">
      <alignment shrinkToFit="1"/>
      <protection hidden="1"/>
    </xf>
    <xf numFmtId="0" fontId="23" fillId="23" borderId="0" xfId="0" applyFont="1" applyFill="1" applyAlignment="1" applyProtection="1">
      <alignment/>
      <protection hidden="1"/>
    </xf>
    <xf numFmtId="0" fontId="23" fillId="23" borderId="0" xfId="0" applyFont="1" applyFill="1" applyAlignment="1" applyProtection="1">
      <alignment shrinkToFit="1"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47" fillId="23" borderId="11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wrapText="1"/>
      <protection hidden="1"/>
    </xf>
    <xf numFmtId="0" fontId="47" fillId="23" borderId="0" xfId="0" applyFont="1" applyFill="1" applyAlignment="1" applyProtection="1">
      <alignment/>
      <protection hidden="1"/>
    </xf>
    <xf numFmtId="0" fontId="0" fillId="23" borderId="0" xfId="0" applyFont="1" applyFill="1" applyAlignment="1" applyProtection="1">
      <alignment/>
      <protection locked="0"/>
    </xf>
    <xf numFmtId="3" fontId="23" fillId="4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0" fontId="0" fillId="0" borderId="11" xfId="0" applyNumberFormat="1" applyFon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17" borderId="53" xfId="0" applyFont="1" applyFill="1" applyBorder="1" applyAlignment="1" applyProtection="1">
      <alignment/>
      <protection hidden="1"/>
    </xf>
    <xf numFmtId="0" fontId="48" fillId="17" borderId="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48" fillId="17" borderId="0" xfId="0" applyFont="1" applyFill="1" applyBorder="1" applyAlignment="1" applyProtection="1">
      <alignment horizontal="center"/>
      <protection hidden="1"/>
    </xf>
    <xf numFmtId="0" fontId="48" fillId="17" borderId="0" xfId="0" applyFont="1" applyFill="1" applyBorder="1" applyAlignment="1" applyProtection="1">
      <alignment horizontal="right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1" fontId="54" fillId="17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0" fillId="17" borderId="53" xfId="0" applyFont="1" applyFill="1" applyBorder="1" applyAlignment="1" applyProtection="1">
      <alignment/>
      <protection hidden="1"/>
    </xf>
    <xf numFmtId="0" fontId="48" fillId="17" borderId="54" xfId="0" applyFont="1" applyFill="1" applyBorder="1" applyAlignment="1" applyProtection="1">
      <alignment/>
      <protection hidden="1"/>
    </xf>
    <xf numFmtId="0" fontId="48" fillId="17" borderId="10" xfId="0" applyFont="1" applyFill="1" applyBorder="1" applyAlignment="1" applyProtection="1">
      <alignment/>
      <protection hidden="1"/>
    </xf>
    <xf numFmtId="0" fontId="49" fillId="17" borderId="54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1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49" fontId="64" fillId="17" borderId="11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/>
      <protection hidden="1"/>
    </xf>
    <xf numFmtId="49" fontId="64" fillId="17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8" fillId="0" borderId="0" xfId="0" applyFont="1" applyBorder="1" applyAlignment="1" applyProtection="1">
      <alignment shrinkToFit="1"/>
      <protection hidden="1"/>
    </xf>
    <xf numFmtId="0" fontId="50" fillId="0" borderId="0" xfId="0" applyFont="1" applyBorder="1" applyAlignment="1" applyProtection="1">
      <alignment horizontal="center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64" fillId="17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0" fontId="49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49" fontId="48" fillId="0" borderId="0" xfId="0" applyNumberFormat="1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1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17" borderId="0" xfId="0" applyNumberFormat="1" applyFont="1" applyFill="1" applyBorder="1" applyAlignment="1" applyProtection="1">
      <alignment horizontal="center" vertical="center"/>
      <protection hidden="1"/>
    </xf>
    <xf numFmtId="0" fontId="64" fillId="17" borderId="0" xfId="0" applyNumberFormat="1" applyFont="1" applyFill="1" applyBorder="1" applyAlignment="1" applyProtection="1">
      <alignment horizontal="left" shrinkToFit="1"/>
      <protection hidden="1"/>
    </xf>
    <xf numFmtId="0" fontId="48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17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17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17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 shrinkToFit="1"/>
      <protection hidden="1"/>
    </xf>
    <xf numFmtId="0" fontId="48" fillId="17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4" borderId="0" xfId="0" applyNumberFormat="1" applyFont="1" applyFill="1" applyAlignment="1" applyProtection="1">
      <alignment/>
      <protection hidden="1"/>
    </xf>
    <xf numFmtId="1" fontId="61" fillId="24" borderId="0" xfId="0" applyNumberFormat="1" applyFont="1" applyFill="1" applyBorder="1" applyAlignment="1" applyProtection="1">
      <alignment/>
      <protection hidden="1"/>
    </xf>
    <xf numFmtId="0" fontId="64" fillId="0" borderId="55" xfId="0" applyFont="1" applyBorder="1" applyAlignment="1" applyProtection="1">
      <alignment horizontal="left"/>
      <protection hidden="1"/>
    </xf>
    <xf numFmtId="49" fontId="50" fillId="17" borderId="56" xfId="0" applyNumberFormat="1" applyFont="1" applyFill="1" applyBorder="1" applyAlignment="1" applyProtection="1">
      <alignment shrinkToFit="1"/>
      <protection locked="0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46" xfId="0" applyFont="1" applyBorder="1" applyAlignment="1" applyProtection="1">
      <alignment/>
      <protection hidden="1"/>
    </xf>
    <xf numFmtId="0" fontId="49" fillId="0" borderId="57" xfId="0" applyFont="1" applyBorder="1" applyAlignment="1" applyProtection="1">
      <alignment/>
      <protection hidden="1"/>
    </xf>
    <xf numFmtId="0" fontId="49" fillId="0" borderId="54" xfId="0" applyFont="1" applyBorder="1" applyAlignment="1" applyProtection="1">
      <alignment/>
      <protection hidden="1"/>
    </xf>
    <xf numFmtId="0" fontId="49" fillId="0" borderId="54" xfId="0" applyFont="1" applyFill="1" applyBorder="1" applyAlignment="1" applyProtection="1">
      <alignment/>
      <protection hidden="1"/>
    </xf>
    <xf numFmtId="49" fontId="50" fillId="0" borderId="54" xfId="0" applyNumberFormat="1" applyFont="1" applyFill="1" applyBorder="1" applyAlignment="1" applyProtection="1">
      <alignment shrinkToFit="1"/>
      <protection locked="0"/>
    </xf>
    <xf numFmtId="0" fontId="22" fillId="0" borderId="54" xfId="0" applyFont="1" applyFill="1" applyBorder="1" applyAlignment="1" applyProtection="1">
      <alignment shrinkToFit="1"/>
      <protection locked="0"/>
    </xf>
    <xf numFmtId="0" fontId="50" fillId="0" borderId="54" xfId="0" applyFont="1" applyFill="1" applyBorder="1" applyAlignment="1" applyProtection="1">
      <alignment horizontal="right"/>
      <protection hidden="1"/>
    </xf>
    <xf numFmtId="0" fontId="50" fillId="0" borderId="54" xfId="0" applyFont="1" applyFill="1" applyBorder="1" applyAlignment="1" applyProtection="1">
      <alignment horizontal="center"/>
      <protection hidden="1"/>
    </xf>
    <xf numFmtId="0" fontId="50" fillId="0" borderId="54" xfId="0" applyFont="1" applyFill="1" applyBorder="1" applyAlignment="1" applyProtection="1">
      <alignment/>
      <protection hidden="1"/>
    </xf>
    <xf numFmtId="0" fontId="49" fillId="0" borderId="35" xfId="0" applyFont="1" applyBorder="1" applyAlignment="1" applyProtection="1">
      <alignment/>
      <protection hidden="1"/>
    </xf>
    <xf numFmtId="0" fontId="49" fillId="0" borderId="53" xfId="0" applyFont="1" applyBorder="1" applyAlignment="1" applyProtection="1">
      <alignment/>
      <protection hidden="1"/>
    </xf>
    <xf numFmtId="0" fontId="49" fillId="0" borderId="39" xfId="0" applyFont="1" applyBorder="1" applyAlignment="1" applyProtection="1">
      <alignment/>
      <protection hidden="1"/>
    </xf>
    <xf numFmtId="0" fontId="64" fillId="0" borderId="58" xfId="0" applyFont="1" applyBorder="1" applyAlignment="1" applyProtection="1">
      <alignment/>
      <protection hidden="1"/>
    </xf>
    <xf numFmtId="0" fontId="64" fillId="0" borderId="53" xfId="0" applyFont="1" applyBorder="1" applyAlignment="1" applyProtection="1">
      <alignment/>
      <protection hidden="1"/>
    </xf>
    <xf numFmtId="0" fontId="49" fillId="0" borderId="55" xfId="0" applyFont="1" applyBorder="1" applyAlignment="1" applyProtection="1">
      <alignment/>
      <protection hidden="1"/>
    </xf>
    <xf numFmtId="0" fontId="64" fillId="0" borderId="11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1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0" fillId="0" borderId="55" xfId="0" applyFont="1" applyBorder="1" applyAlignment="1" applyProtection="1">
      <alignment/>
      <protection hidden="1"/>
    </xf>
    <xf numFmtId="0" fontId="50" fillId="0" borderId="58" xfId="0" applyFont="1" applyBorder="1" applyAlignment="1" applyProtection="1">
      <alignment/>
      <protection hidden="1"/>
    </xf>
    <xf numFmtId="0" fontId="60" fillId="0" borderId="57" xfId="0" applyFont="1" applyBorder="1" applyAlignment="1" applyProtection="1">
      <alignment/>
      <protection hidden="1"/>
    </xf>
    <xf numFmtId="0" fontId="66" fillId="0" borderId="54" xfId="0" applyFont="1" applyBorder="1" applyAlignment="1" applyProtection="1">
      <alignment/>
      <protection hidden="1"/>
    </xf>
    <xf numFmtId="0" fontId="49" fillId="0" borderId="35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4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3" fontId="83" fillId="0" borderId="0" xfId="40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3" fontId="86" fillId="0" borderId="0" xfId="40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1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6" fontId="44" fillId="0" borderId="0" xfId="0" applyNumberFormat="1" applyFont="1" applyAlignment="1" applyProtection="1">
      <alignment/>
      <protection hidden="1"/>
    </xf>
    <xf numFmtId="0" fontId="87" fillId="0" borderId="58" xfId="0" applyFont="1" applyBorder="1" applyAlignment="1" applyProtection="1">
      <alignment/>
      <protection hidden="1"/>
    </xf>
    <xf numFmtId="0" fontId="83" fillId="0" borderId="53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3" fontId="85" fillId="0" borderId="0" xfId="40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5" fontId="85" fillId="0" borderId="0" xfId="0" applyNumberFormat="1" applyFont="1" applyFill="1" applyAlignment="1" applyProtection="1">
      <alignment shrinkToFit="1"/>
      <protection hidden="1"/>
    </xf>
    <xf numFmtId="49" fontId="83" fillId="0" borderId="49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2" fontId="87" fillId="0" borderId="0" xfId="40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2" borderId="0" xfId="0" applyFont="1" applyFill="1" applyBorder="1" applyAlignment="1" applyProtection="1">
      <alignment/>
      <protection hidden="1"/>
    </xf>
    <xf numFmtId="173" fontId="85" fillId="22" borderId="0" xfId="40" applyNumberFormat="1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/>
      <protection hidden="1"/>
    </xf>
    <xf numFmtId="174" fontId="90" fillId="22" borderId="0" xfId="0" applyNumberFormat="1" applyFont="1" applyFill="1" applyBorder="1" applyAlignment="1" applyProtection="1">
      <alignment horizontal="right" vertical="center"/>
      <protection hidden="1"/>
    </xf>
    <xf numFmtId="0" fontId="91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173" fontId="90" fillId="22" borderId="16" xfId="40" applyNumberFormat="1" applyFont="1" applyFill="1" applyBorder="1" applyAlignment="1" applyProtection="1">
      <alignment horizontal="center" vertical="center"/>
      <protection hidden="1"/>
    </xf>
    <xf numFmtId="173" fontId="90" fillId="22" borderId="47" xfId="40" applyNumberFormat="1" applyFont="1" applyFill="1" applyBorder="1" applyAlignment="1" applyProtection="1">
      <alignment horizontal="center" vertical="center"/>
      <protection hidden="1"/>
    </xf>
    <xf numFmtId="173" fontId="90" fillId="22" borderId="36" xfId="40" applyNumberFormat="1" applyFont="1" applyFill="1" applyBorder="1" applyAlignment="1" applyProtection="1">
      <alignment horizontal="center" vertical="center"/>
      <protection hidden="1"/>
    </xf>
    <xf numFmtId="173" fontId="85" fillId="22" borderId="0" xfId="0" applyNumberFormat="1" applyFont="1" applyFill="1" applyAlignment="1" applyProtection="1">
      <alignment/>
      <protection hidden="1"/>
    </xf>
    <xf numFmtId="0" fontId="85" fillId="22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4" fontId="90" fillId="22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2" borderId="0" xfId="0" applyFont="1" applyFill="1" applyBorder="1" applyAlignment="1" applyProtection="1">
      <alignment wrapText="1" shrinkToFit="1"/>
      <protection hidden="1"/>
    </xf>
    <xf numFmtId="49" fontId="88" fillId="0" borderId="49" xfId="0" applyNumberFormat="1" applyFont="1" applyBorder="1" applyAlignment="1" applyProtection="1">
      <alignment vertical="top" shrinkToFit="1"/>
      <protection hidden="1"/>
    </xf>
    <xf numFmtId="49" fontId="88" fillId="0" borderId="10" xfId="0" applyNumberFormat="1" applyFont="1" applyBorder="1" applyAlignment="1" applyProtection="1">
      <alignment vertical="top" shrinkToFit="1"/>
      <protection hidden="1"/>
    </xf>
    <xf numFmtId="0" fontId="83" fillId="0" borderId="0" xfId="40" applyNumberFormat="1" applyFont="1" applyFill="1" applyBorder="1" applyAlignment="1" applyProtection="1">
      <alignment/>
      <protection hidden="1"/>
    </xf>
    <xf numFmtId="173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2" borderId="0" xfId="0" applyFont="1" applyFill="1" applyAlignment="1" applyProtection="1">
      <alignment/>
      <protection hidden="1"/>
    </xf>
    <xf numFmtId="173" fontId="83" fillId="22" borderId="0" xfId="40" applyNumberFormat="1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3" fontId="87" fillId="0" borderId="11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hidden="1"/>
    </xf>
    <xf numFmtId="0" fontId="88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9" fontId="83" fillId="0" borderId="58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0" xfId="0" applyNumberFormat="1" applyFont="1" applyBorder="1" applyAlignment="1" applyProtection="1">
      <alignment vertical="top" shrinkToFit="1"/>
      <protection hidden="1"/>
    </xf>
    <xf numFmtId="49" fontId="83" fillId="0" borderId="10" xfId="0" applyNumberFormat="1" applyFont="1" applyBorder="1" applyAlignment="1" applyProtection="1">
      <alignment/>
      <protection hidden="1"/>
    </xf>
    <xf numFmtId="49" fontId="44" fillId="0" borderId="0" xfId="0" applyNumberFormat="1" applyFont="1" applyAlignment="1" applyProtection="1">
      <alignment vertical="top" shrinkToFit="1"/>
      <protection hidden="1"/>
    </xf>
    <xf numFmtId="0" fontId="44" fillId="0" borderId="0" xfId="0" applyFont="1" applyBorder="1" applyAlignment="1" applyProtection="1">
      <alignment/>
      <protection hidden="1"/>
    </xf>
    <xf numFmtId="173" fontId="44" fillId="0" borderId="0" xfId="40" applyNumberFormat="1" applyFont="1" applyFill="1" applyBorder="1" applyAlignment="1" applyProtection="1">
      <alignment/>
      <protection hidden="1"/>
    </xf>
    <xf numFmtId="0" fontId="75" fillId="0" borderId="11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1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46" xfId="0" applyFont="1" applyBorder="1" applyAlignment="1" applyProtection="1">
      <alignment/>
      <protection hidden="1"/>
    </xf>
    <xf numFmtId="0" fontId="50" fillId="0" borderId="56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88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locked="0"/>
    </xf>
    <xf numFmtId="0" fontId="49" fillId="23" borderId="11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0" fillId="23" borderId="11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50" fillId="0" borderId="0" xfId="0" applyFont="1" applyAlignment="1" applyProtection="1">
      <alignment/>
      <protection hidden="1"/>
    </xf>
    <xf numFmtId="0" fontId="49" fillId="0" borderId="58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49" fillId="0" borderId="58" xfId="0" applyFont="1" applyBorder="1" applyAlignment="1" applyProtection="1">
      <alignment horizontal="center"/>
      <protection hidden="1"/>
    </xf>
    <xf numFmtId="0" fontId="49" fillId="0" borderId="55" xfId="0" applyFont="1" applyBorder="1" applyAlignment="1" applyProtection="1">
      <alignment horizontal="center"/>
      <protection hidden="1"/>
    </xf>
    <xf numFmtId="0" fontId="64" fillId="17" borderId="11" xfId="0" applyFont="1" applyFill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 horizontal="center"/>
      <protection locked="0"/>
    </xf>
    <xf numFmtId="0" fontId="50" fillId="0" borderId="46" xfId="0" applyFont="1" applyFill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left" wrapText="1"/>
      <protection hidden="1"/>
    </xf>
    <xf numFmtId="0" fontId="64" fillId="0" borderId="4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0" fillId="0" borderId="46" xfId="0" applyFont="1" applyFill="1" applyBorder="1" applyAlignment="1" applyProtection="1">
      <alignment horizontal="center" vertical="center"/>
      <protection locked="0"/>
    </xf>
    <xf numFmtId="173" fontId="50" fillId="0" borderId="0" xfId="4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49" fillId="0" borderId="54" xfId="0" applyFont="1" applyBorder="1" applyAlignment="1" applyProtection="1">
      <alignment/>
      <protection hidden="1"/>
    </xf>
    <xf numFmtId="0" fontId="49" fillId="0" borderId="56" xfId="0" applyFont="1" applyFill="1" applyBorder="1" applyAlignment="1" applyProtection="1">
      <alignment/>
      <protection hidden="1"/>
    </xf>
    <xf numFmtId="0" fontId="60" fillId="0" borderId="55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0" fillId="17" borderId="58" xfId="0" applyNumberFormat="1" applyFont="1" applyFill="1" applyBorder="1" applyAlignment="1" applyProtection="1">
      <alignment shrinkToFit="1"/>
      <protection hidden="1"/>
    </xf>
    <xf numFmtId="49" fontId="50" fillId="17" borderId="53" xfId="0" applyNumberFormat="1" applyFont="1" applyFill="1" applyBorder="1" applyAlignment="1" applyProtection="1">
      <alignment horizontal="left"/>
      <protection hidden="1"/>
    </xf>
    <xf numFmtId="3" fontId="109" fillId="0" borderId="53" xfId="0" applyNumberFormat="1" applyFont="1" applyFill="1" applyBorder="1" applyAlignment="1" applyProtection="1">
      <alignment horizontal="center" shrinkToFit="1"/>
      <protection hidden="1"/>
    </xf>
    <xf numFmtId="49" fontId="50" fillId="17" borderId="39" xfId="0" applyNumberFormat="1" applyFont="1" applyFill="1" applyBorder="1" applyAlignment="1" applyProtection="1">
      <alignment horizontal="left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49" fillId="17" borderId="46" xfId="0" applyFont="1" applyFill="1" applyBorder="1" applyAlignment="1" applyProtection="1">
      <alignment shrinkToFit="1"/>
      <protection hidden="1"/>
    </xf>
    <xf numFmtId="0" fontId="49" fillId="0" borderId="16" xfId="0" applyFont="1" applyBorder="1" applyAlignment="1" applyProtection="1">
      <alignment horizontal="center" wrapText="1"/>
      <protection hidden="1"/>
    </xf>
    <xf numFmtId="0" fontId="49" fillId="0" borderId="58" xfId="0" applyFont="1" applyBorder="1" applyAlignment="1" applyProtection="1">
      <alignment horizontal="center" vertical="top" shrinkToFit="1"/>
      <protection hidden="1"/>
    </xf>
    <xf numFmtId="174" fontId="50" fillId="0" borderId="39" xfId="0" applyNumberFormat="1" applyFont="1" applyBorder="1" applyAlignment="1" applyProtection="1">
      <alignment vertical="center" shrinkToFit="1"/>
      <protection hidden="1"/>
    </xf>
    <xf numFmtId="0" fontId="49" fillId="0" borderId="49" xfId="0" applyFont="1" applyBorder="1" applyAlignment="1" applyProtection="1">
      <alignment horizontal="center" vertical="top" shrinkToFit="1"/>
      <protection locked="0"/>
    </xf>
    <xf numFmtId="0" fontId="49" fillId="0" borderId="10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9" fillId="0" borderId="49" xfId="0" applyFont="1" applyBorder="1" applyAlignment="1" applyProtection="1">
      <alignment horizontal="center" vertical="top" shrinkToFit="1"/>
      <protection hidden="1"/>
    </xf>
    <xf numFmtId="0" fontId="81" fillId="22" borderId="0" xfId="0" applyFont="1" applyFill="1" applyAlignment="1" applyProtection="1">
      <alignment/>
      <protection hidden="1"/>
    </xf>
    <xf numFmtId="0" fontId="49" fillId="0" borderId="57" xfId="0" applyFont="1" applyBorder="1" applyAlignment="1" applyProtection="1">
      <alignment horizontal="center" vertical="top" shrinkToFit="1"/>
      <protection hidden="1"/>
    </xf>
    <xf numFmtId="174" fontId="50" fillId="0" borderId="35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56" xfId="0" applyFont="1" applyBorder="1" applyAlignment="1" applyProtection="1">
      <alignment/>
      <protection hidden="1"/>
    </xf>
    <xf numFmtId="0" fontId="49" fillId="0" borderId="59" xfId="0" applyFont="1" applyBorder="1" applyAlignment="1" applyProtection="1">
      <alignment/>
      <protection hidden="1"/>
    </xf>
    <xf numFmtId="0" fontId="49" fillId="0" borderId="0" xfId="0" applyFont="1" applyAlignment="1" applyProtection="1">
      <alignment vertical="center"/>
      <protection hidden="1"/>
    </xf>
    <xf numFmtId="168" fontId="49" fillId="0" borderId="0" xfId="59" applyNumberFormat="1" applyFont="1" applyFill="1" applyBorder="1" applyAlignment="1" applyProtection="1">
      <alignment/>
      <protection hidden="1"/>
    </xf>
    <xf numFmtId="1" fontId="50" fillId="17" borderId="58" xfId="0" applyNumberFormat="1" applyFont="1" applyFill="1" applyBorder="1" applyAlignment="1" applyProtection="1">
      <alignment horizontal="right" shrinkToFit="1"/>
      <protection hidden="1"/>
    </xf>
    <xf numFmtId="0" fontId="49" fillId="0" borderId="11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4" fontId="49" fillId="0" borderId="0" xfId="0" applyNumberFormat="1" applyFont="1" applyAlignment="1" applyProtection="1">
      <alignment/>
      <protection hidden="1"/>
    </xf>
    <xf numFmtId="3" fontId="50" fillId="0" borderId="11" xfId="0" applyNumberFormat="1" applyFont="1" applyFill="1" applyBorder="1" applyAlignment="1" applyProtection="1">
      <alignment horizontal="right" wrapText="1"/>
      <protection hidden="1"/>
    </xf>
    <xf numFmtId="0" fontId="48" fillId="0" borderId="0" xfId="0" applyFont="1" applyFill="1" applyAlignment="1" applyProtection="1">
      <alignment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58" xfId="0" applyFont="1" applyBorder="1" applyAlignment="1" applyProtection="1">
      <alignment horizontal="center"/>
      <protection hidden="1"/>
    </xf>
    <xf numFmtId="0" fontId="48" fillId="0" borderId="53" xfId="0" applyFont="1" applyBorder="1" applyAlignment="1" applyProtection="1">
      <alignment horizontal="center"/>
      <protection hidden="1"/>
    </xf>
    <xf numFmtId="0" fontId="48" fillId="0" borderId="53" xfId="0" applyFont="1" applyFill="1" applyBorder="1" applyAlignment="1" applyProtection="1">
      <alignment horizontal="center"/>
      <protection hidden="1"/>
    </xf>
    <xf numFmtId="0" fontId="107" fillId="0" borderId="3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4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4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8" fillId="0" borderId="46" xfId="0" applyFont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center"/>
      <protection hidden="1"/>
    </xf>
    <xf numFmtId="0" fontId="48" fillId="0" borderId="39" xfId="0" applyFont="1" applyBorder="1" applyAlignment="1" applyProtection="1">
      <alignment horizontal="center"/>
      <protection hidden="1"/>
    </xf>
    <xf numFmtId="0" fontId="48" fillId="0" borderId="55" xfId="0" applyFont="1" applyBorder="1" applyAlignment="1" applyProtection="1">
      <alignment horizontal="center"/>
      <protection hidden="1"/>
    </xf>
    <xf numFmtId="0" fontId="48" fillId="0" borderId="46" xfId="0" applyFont="1" applyBorder="1" applyAlignment="1" applyProtection="1">
      <alignment horizontal="center"/>
      <protection hidden="1"/>
    </xf>
    <xf numFmtId="0" fontId="48" fillId="0" borderId="55" xfId="0" applyFont="1" applyBorder="1" applyAlignment="1" applyProtection="1">
      <alignment/>
      <protection hidden="1"/>
    </xf>
    <xf numFmtId="3" fontId="50" fillId="17" borderId="11" xfId="0" applyNumberFormat="1" applyFont="1" applyFill="1" applyBorder="1" applyAlignment="1" applyProtection="1">
      <alignment horizontal="center"/>
      <protection locked="0"/>
    </xf>
    <xf numFmtId="0" fontId="50" fillId="0" borderId="55" xfId="0" applyFont="1" applyFill="1" applyBorder="1" applyAlignment="1" applyProtection="1">
      <alignment horizontal="center"/>
      <protection hidden="1"/>
    </xf>
    <xf numFmtId="3" fontId="48" fillId="17" borderId="11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0" xfId="0" applyFont="1" applyFill="1" applyBorder="1" applyAlignment="1" applyProtection="1">
      <alignment horizontal="center"/>
      <protection hidden="1"/>
    </xf>
    <xf numFmtId="0" fontId="48" fillId="0" borderId="57" xfId="0" applyFont="1" applyBorder="1" applyAlignment="1" applyProtection="1">
      <alignment horizontal="center"/>
      <protection hidden="1"/>
    </xf>
    <xf numFmtId="0" fontId="48" fillId="0" borderId="54" xfId="0" applyFont="1" applyBorder="1" applyAlignment="1" applyProtection="1">
      <alignment horizontal="center"/>
      <protection hidden="1"/>
    </xf>
    <xf numFmtId="0" fontId="50" fillId="0" borderId="54" xfId="0" applyFont="1" applyFill="1" applyBorder="1" applyAlignment="1" applyProtection="1">
      <alignment horizontal="center"/>
      <protection locked="0"/>
    </xf>
    <xf numFmtId="0" fontId="48" fillId="0" borderId="35" xfId="0" applyFont="1" applyBorder="1" applyAlignment="1" applyProtection="1">
      <alignment horizontal="center"/>
      <protection hidden="1"/>
    </xf>
    <xf numFmtId="0" fontId="59" fillId="0" borderId="11" xfId="0" applyFont="1" applyBorder="1" applyAlignment="1" applyProtection="1">
      <alignment horizontal="center" vertical="center" shrinkToFit="1"/>
      <protection hidden="1"/>
    </xf>
    <xf numFmtId="0" fontId="59" fillId="0" borderId="11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shrinkToFit="1"/>
      <protection hidden="1"/>
    </xf>
    <xf numFmtId="0" fontId="48" fillId="0" borderId="49" xfId="0" applyFont="1" applyBorder="1" applyAlignment="1" applyProtection="1">
      <alignment horizontal="left" vertical="center" shrinkToFit="1"/>
      <protection hidden="1"/>
    </xf>
    <xf numFmtId="0" fontId="48" fillId="0" borderId="55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49" fillId="0" borderId="49" xfId="0" applyFont="1" applyBorder="1" applyAlignment="1" applyProtection="1">
      <alignment horizontal="center" shrinkToFit="1"/>
      <protection hidden="1"/>
    </xf>
    <xf numFmtId="174" fontId="50" fillId="17" borderId="38" xfId="0" applyNumberFormat="1" applyFont="1" applyFill="1" applyBorder="1" applyAlignment="1" applyProtection="1">
      <alignment vertical="center" shrinkToFit="1"/>
      <protection locked="0"/>
    </xf>
    <xf numFmtId="174" fontId="50" fillId="17" borderId="39" xfId="0" applyNumberFormat="1" applyFont="1" applyFill="1" applyBorder="1" applyAlignment="1" applyProtection="1">
      <alignment vertical="center" shrinkToFit="1"/>
      <protection locked="0"/>
    </xf>
    <xf numFmtId="174" fontId="50" fillId="17" borderId="35" xfId="0" applyNumberFormat="1" applyFont="1" applyFill="1" applyBorder="1" applyAlignment="1" applyProtection="1">
      <alignment vertical="center" shrinkToFit="1"/>
      <protection locked="0"/>
    </xf>
    <xf numFmtId="3" fontId="49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0" fillId="17" borderId="53" xfId="0" applyNumberFormat="1" applyFont="1" applyFill="1" applyBorder="1" applyAlignment="1" applyProtection="1">
      <alignment horizontal="center"/>
      <protection hidden="1"/>
    </xf>
    <xf numFmtId="49" fontId="50" fillId="17" borderId="53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Alignment="1" applyProtection="1">
      <alignment horizontal="left"/>
      <protection hidden="1"/>
    </xf>
    <xf numFmtId="173" fontId="73" fillId="0" borderId="11" xfId="40" applyNumberFormat="1" applyFont="1" applyFill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 horizontal="center" vertical="center" wrapText="1"/>
      <protection locked="0"/>
    </xf>
    <xf numFmtId="0" fontId="49" fillId="17" borderId="11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49" fillId="17" borderId="53" xfId="0" applyFont="1" applyFill="1" applyBorder="1" applyAlignment="1" applyProtection="1">
      <alignment/>
      <protection hidden="1"/>
    </xf>
    <xf numFmtId="0" fontId="49" fillId="17" borderId="39" xfId="0" applyFont="1" applyFill="1" applyBorder="1" applyAlignment="1" applyProtection="1">
      <alignment/>
      <protection hidden="1"/>
    </xf>
    <xf numFmtId="0" fontId="49" fillId="17" borderId="10" xfId="0" applyFont="1" applyFill="1" applyBorder="1" applyAlignment="1" applyProtection="1">
      <alignment/>
      <protection locked="0"/>
    </xf>
    <xf numFmtId="0" fontId="49" fillId="17" borderId="53" xfId="0" applyFont="1" applyFill="1" applyBorder="1" applyAlignment="1" applyProtection="1">
      <alignment/>
      <protection locked="0"/>
    </xf>
    <xf numFmtId="0" fontId="49" fillId="17" borderId="54" xfId="0" applyFont="1" applyFill="1" applyBorder="1" applyAlignment="1" applyProtection="1">
      <alignment/>
      <protection locked="0"/>
    </xf>
    <xf numFmtId="0" fontId="49" fillId="17" borderId="0" xfId="0" applyFont="1" applyFill="1" applyBorder="1" applyAlignment="1" applyProtection="1">
      <alignment/>
      <protection locked="0"/>
    </xf>
    <xf numFmtId="174" fontId="50" fillId="17" borderId="35" xfId="0" applyNumberFormat="1" applyFont="1" applyFill="1" applyBorder="1" applyAlignment="1" applyProtection="1">
      <alignment vertical="center"/>
      <protection hidden="1"/>
    </xf>
    <xf numFmtId="0" fontId="26" fillId="23" borderId="0" xfId="0" applyFont="1" applyFill="1" applyAlignment="1" applyProtection="1">
      <alignment/>
      <protection hidden="1"/>
    </xf>
    <xf numFmtId="0" fontId="23" fillId="23" borderId="0" xfId="0" applyFont="1" applyFill="1" applyBorder="1" applyAlignment="1" applyProtection="1">
      <alignment horizontal="right"/>
      <protection hidden="1"/>
    </xf>
    <xf numFmtId="0" fontId="23" fillId="23" borderId="0" xfId="0" applyFont="1" applyFill="1" applyAlignment="1" applyProtection="1">
      <alignment horizontal="center"/>
      <protection hidden="1"/>
    </xf>
    <xf numFmtId="0" fontId="26" fillId="23" borderId="0" xfId="0" applyFont="1" applyFill="1" applyBorder="1" applyAlignment="1" applyProtection="1">
      <alignment horizontal="center"/>
      <protection hidden="1"/>
    </xf>
    <xf numFmtId="1" fontId="26" fillId="23" borderId="0" xfId="0" applyNumberFormat="1" applyFont="1" applyFill="1" applyBorder="1" applyAlignment="1" applyProtection="1">
      <alignment horizontal="center"/>
      <protection hidden="1"/>
    </xf>
    <xf numFmtId="0" fontId="26" fillId="23" borderId="0" xfId="0" applyFont="1" applyFill="1" applyAlignment="1" applyProtection="1">
      <alignment horizontal="center"/>
      <protection hidden="1"/>
    </xf>
    <xf numFmtId="0" fontId="22" fillId="23" borderId="0" xfId="0" applyFont="1" applyFill="1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21" fillId="0" borderId="60" xfId="0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/>
      <protection locked="0"/>
    </xf>
    <xf numFmtId="10" fontId="0" fillId="23" borderId="0" xfId="0" applyNumberFormat="1" applyFont="1" applyFill="1" applyAlignment="1" applyProtection="1">
      <alignment shrinkToFit="1"/>
      <protection hidden="1"/>
    </xf>
    <xf numFmtId="0" fontId="23" fillId="25" borderId="0" xfId="0" applyFont="1" applyFill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3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48" fillId="0" borderId="53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1" fontId="54" fillId="0" borderId="0" xfId="0" applyNumberFormat="1" applyFont="1" applyFill="1" applyBorder="1" applyAlignment="1" applyProtection="1">
      <alignment/>
      <protection hidden="1"/>
    </xf>
    <xf numFmtId="0" fontId="55" fillId="0" borderId="61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left"/>
      <protection hidden="1"/>
    </xf>
    <xf numFmtId="0" fontId="55" fillId="0" borderId="62" xfId="0" applyFont="1" applyFill="1" applyBorder="1" applyAlignment="1" applyProtection="1">
      <alignment/>
      <protection hidden="1"/>
    </xf>
    <xf numFmtId="0" fontId="50" fillId="0" borderId="53" xfId="0" applyFont="1" applyFill="1" applyBorder="1" applyAlignment="1" applyProtection="1">
      <alignment/>
      <protection hidden="1"/>
    </xf>
    <xf numFmtId="0" fontId="48" fillId="0" borderId="54" xfId="0" applyFont="1" applyFill="1" applyBorder="1" applyAlignment="1" applyProtection="1">
      <alignment/>
      <protection hidden="1"/>
    </xf>
    <xf numFmtId="0" fontId="48" fillId="0" borderId="10" xfId="0" applyFont="1" applyFill="1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 horizontal="right"/>
      <protection hidden="1"/>
    </xf>
    <xf numFmtId="0" fontId="58" fillId="0" borderId="0" xfId="0" applyFont="1" applyFill="1" applyAlignment="1" applyProtection="1">
      <alignment horizontal="right"/>
      <protection hidden="1"/>
    </xf>
    <xf numFmtId="0" fontId="58" fillId="0" borderId="0" xfId="0" applyFont="1" applyFill="1" applyBorder="1" applyAlignment="1" applyProtection="1">
      <alignment horizontal="left"/>
      <protection hidden="1"/>
    </xf>
    <xf numFmtId="0" fontId="6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49" fontId="48" fillId="0" borderId="0" xfId="0" applyNumberFormat="1" applyFont="1" applyFill="1" applyBorder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67" fillId="0" borderId="0" xfId="0" applyFont="1" applyFill="1" applyAlignment="1" applyProtection="1">
      <alignment/>
      <protection hidden="1"/>
    </xf>
    <xf numFmtId="49" fontId="49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64" fillId="0" borderId="0" xfId="0" applyFont="1" applyFill="1" applyBorder="1" applyAlignment="1" applyProtection="1">
      <alignment horizontal="center" shrinkToFit="1"/>
      <protection hidden="1"/>
    </xf>
    <xf numFmtId="49" fontId="59" fillId="0" borderId="0" xfId="0" applyNumberFormat="1" applyFont="1" applyFill="1" applyBorder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49" fontId="64" fillId="0" borderId="0" xfId="0" applyNumberFormat="1" applyFont="1" applyFill="1" applyBorder="1" applyAlignment="1" applyProtection="1">
      <alignment horizontal="center"/>
      <protection hidden="1"/>
    </xf>
    <xf numFmtId="49" fontId="48" fillId="0" borderId="0" xfId="0" applyNumberFormat="1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/>
      <protection hidden="1"/>
    </xf>
    <xf numFmtId="0" fontId="49" fillId="0" borderId="11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49" fontId="59" fillId="0" borderId="0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left" vertical="center"/>
      <protection hidden="1"/>
    </xf>
    <xf numFmtId="0" fontId="76" fillId="0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shrinkToFit="1"/>
      <protection hidden="1"/>
    </xf>
    <xf numFmtId="0" fontId="75" fillId="0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Fill="1" applyBorder="1" applyAlignment="1" applyProtection="1">
      <alignment shrinkToFit="1"/>
      <protection hidden="1"/>
    </xf>
    <xf numFmtId="0" fontId="66" fillId="0" borderId="0" xfId="0" applyFont="1" applyFill="1" applyBorder="1" applyAlignment="1" applyProtection="1">
      <alignment shrinkToFit="1"/>
      <protection hidden="1"/>
    </xf>
    <xf numFmtId="0" fontId="49" fillId="0" borderId="63" xfId="0" applyFont="1" applyFill="1" applyBorder="1" applyAlignment="1" applyProtection="1">
      <alignment/>
      <protection hidden="1"/>
    </xf>
    <xf numFmtId="49" fontId="61" fillId="0" borderId="0" xfId="0" applyNumberFormat="1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1" fontId="61" fillId="0" borderId="0" xfId="0" applyNumberFormat="1" applyFont="1" applyFill="1" applyAlignment="1" applyProtection="1">
      <alignment/>
      <protection hidden="1"/>
    </xf>
    <xf numFmtId="1" fontId="61" fillId="0" borderId="0" xfId="0" applyNumberFormat="1" applyFont="1" applyFill="1" applyBorder="1" applyAlignment="1" applyProtection="1">
      <alignment/>
      <protection hidden="1"/>
    </xf>
    <xf numFmtId="0" fontId="120" fillId="0" borderId="0" xfId="0" applyFont="1" applyFill="1" applyAlignment="1" applyProtection="1">
      <alignment/>
      <protection hidden="1"/>
    </xf>
    <xf numFmtId="0" fontId="120" fillId="0" borderId="0" xfId="0" applyFont="1" applyFill="1" applyBorder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101" fillId="0" borderId="0" xfId="0" applyFont="1" applyFill="1" applyBorder="1" applyAlignment="1" applyProtection="1">
      <alignment horizontal="right"/>
      <protection hidden="1"/>
    </xf>
    <xf numFmtId="0" fontId="100" fillId="0" borderId="0" xfId="0" applyFont="1" applyFill="1" applyBorder="1" applyAlignment="1" applyProtection="1">
      <alignment horizontal="right"/>
      <protection hidden="1"/>
    </xf>
    <xf numFmtId="0" fontId="101" fillId="0" borderId="0" xfId="0" applyFont="1" applyFill="1" applyBorder="1" applyAlignment="1" applyProtection="1">
      <alignment/>
      <protection hidden="1"/>
    </xf>
    <xf numFmtId="0" fontId="100" fillId="0" borderId="0" xfId="0" applyFont="1" applyFill="1" applyBorder="1" applyAlignment="1" applyProtection="1">
      <alignment/>
      <protection hidden="1"/>
    </xf>
    <xf numFmtId="0" fontId="102" fillId="0" borderId="0" xfId="0" applyFont="1" applyFill="1" applyBorder="1" applyAlignment="1" applyProtection="1">
      <alignment/>
      <protection hidden="1"/>
    </xf>
    <xf numFmtId="0" fontId="103" fillId="0" borderId="0" xfId="0" applyFont="1" applyFill="1" applyBorder="1" applyAlignment="1" applyProtection="1">
      <alignment/>
      <protection hidden="1"/>
    </xf>
    <xf numFmtId="0" fontId="102" fillId="0" borderId="0" xfId="0" applyFont="1" applyFill="1" applyBorder="1" applyAlignment="1" applyProtection="1">
      <alignment/>
      <protection hidden="1"/>
    </xf>
    <xf numFmtId="0" fontId="103" fillId="0" borderId="0" xfId="0" applyFont="1" applyFill="1" applyBorder="1" applyAlignment="1" applyProtection="1">
      <alignment/>
      <protection hidden="1"/>
    </xf>
    <xf numFmtId="0" fontId="98" fillId="0" borderId="0" xfId="0" applyFont="1" applyFill="1" applyBorder="1" applyAlignment="1" applyProtection="1">
      <alignment vertical="top"/>
      <protection hidden="1"/>
    </xf>
    <xf numFmtId="0" fontId="88" fillId="0" borderId="0" xfId="0" applyFont="1" applyFill="1" applyBorder="1" applyAlignment="1" applyProtection="1">
      <alignment/>
      <protection hidden="1"/>
    </xf>
    <xf numFmtId="0" fontId="118" fillId="0" borderId="60" xfId="0" applyFont="1" applyFill="1" applyBorder="1" applyAlignment="1" applyProtection="1">
      <alignment horizontal="center" vertical="center" shrinkToFit="1"/>
      <protection locked="0"/>
    </xf>
    <xf numFmtId="0" fontId="83" fillId="0" borderId="0" xfId="0" applyFont="1" applyFill="1" applyBorder="1" applyAlignment="1" applyProtection="1">
      <alignment/>
      <protection hidden="1"/>
    </xf>
    <xf numFmtId="0" fontId="84" fillId="0" borderId="0" xfId="0" applyFont="1" applyFill="1" applyBorder="1" applyAlignment="1" applyProtection="1">
      <alignment/>
      <protection hidden="1"/>
    </xf>
    <xf numFmtId="0" fontId="106" fillId="0" borderId="0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vertical="center" shrinkToFit="1"/>
      <protection hidden="1"/>
    </xf>
    <xf numFmtId="0" fontId="23" fillId="23" borderId="0" xfId="0" applyFont="1" applyFill="1" applyAlignment="1" applyProtection="1">
      <alignment horizontal="center" vertical="center" shrinkToFit="1"/>
      <protection hidden="1"/>
    </xf>
    <xf numFmtId="0" fontId="25" fillId="4" borderId="42" xfId="0" applyFont="1" applyFill="1" applyBorder="1" applyAlignment="1" applyProtection="1">
      <alignment horizontal="left" vertical="center" shrinkToFit="1"/>
      <protection hidden="1"/>
    </xf>
    <xf numFmtId="0" fontId="0" fillId="23" borderId="39" xfId="0" applyFont="1" applyFill="1" applyBorder="1" applyAlignment="1" applyProtection="1">
      <alignment horizontal="center" vertical="center" shrinkToFit="1"/>
      <protection hidden="1"/>
    </xf>
    <xf numFmtId="169" fontId="22" fillId="4" borderId="42" xfId="0" applyNumberFormat="1" applyFont="1" applyFill="1" applyBorder="1" applyAlignment="1" applyProtection="1">
      <alignment horizontal="center" vertical="center" shrinkToFit="1"/>
      <protection hidden="1"/>
    </xf>
    <xf numFmtId="3" fontId="22" fillId="4" borderId="16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3" fontId="0" fillId="26" borderId="11" xfId="0" applyNumberFormat="1" applyFont="1" applyFill="1" applyBorder="1" applyAlignment="1" applyProtection="1">
      <alignment shrinkToFit="1"/>
      <protection locked="0"/>
    </xf>
    <xf numFmtId="49" fontId="64" fillId="0" borderId="0" xfId="0" applyNumberFormat="1" applyFont="1" applyFill="1" applyBorder="1" applyAlignment="1" applyProtection="1">
      <alignment horizontal="left" vertical="center" shrinkToFit="1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3" fillId="23" borderId="0" xfId="0" applyFont="1" applyFill="1" applyAlignment="1" applyProtection="1">
      <alignment/>
      <protection locked="0"/>
    </xf>
    <xf numFmtId="0" fontId="43" fillId="25" borderId="0" xfId="0" applyFont="1" applyFill="1" applyAlignment="1" applyProtection="1">
      <alignment/>
      <protection locked="0"/>
    </xf>
    <xf numFmtId="49" fontId="64" fillId="0" borderId="11" xfId="0" applyNumberFormat="1" applyFont="1" applyFill="1" applyBorder="1" applyAlignment="1" applyProtection="1">
      <alignment horizontal="center" vertical="center"/>
      <protection hidden="1"/>
    </xf>
    <xf numFmtId="1" fontId="64" fillId="0" borderId="0" xfId="0" applyNumberFormat="1" applyFont="1" applyFill="1" applyBorder="1" applyAlignment="1" applyProtection="1">
      <alignment horizontal="center" shrinkToFit="1"/>
      <protection hidden="1"/>
    </xf>
    <xf numFmtId="0" fontId="6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74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0" fillId="0" borderId="56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7" fillId="0" borderId="0" xfId="0" applyFont="1" applyFill="1" applyBorder="1" applyAlignment="1" applyProtection="1">
      <alignment/>
      <protection hidden="1"/>
    </xf>
    <xf numFmtId="0" fontId="92" fillId="0" borderId="0" xfId="0" applyFont="1" applyBorder="1" applyAlignment="1" applyProtection="1">
      <alignment horizontal="left" vertical="center" indent="3"/>
      <protection hidden="1"/>
    </xf>
    <xf numFmtId="174" fontId="87" fillId="0" borderId="64" xfId="0" applyNumberFormat="1" applyFont="1" applyBorder="1" applyAlignment="1" applyProtection="1">
      <alignment horizontal="right" vertical="center" shrinkToFit="1"/>
      <protection hidden="1"/>
    </xf>
    <xf numFmtId="174" fontId="87" fillId="0" borderId="65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64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65" xfId="0" applyNumberFormat="1" applyFont="1" applyBorder="1" applyAlignment="1" applyProtection="1">
      <alignment horizontal="right" vertical="center" shrinkToFit="1"/>
      <protection hidden="1"/>
    </xf>
    <xf numFmtId="174" fontId="89" fillId="0" borderId="65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66" xfId="0" applyNumberFormat="1" applyFont="1" applyBorder="1" applyAlignment="1" applyProtection="1">
      <alignment horizontal="center" vertical="center" shrinkToFit="1"/>
      <protection hidden="1"/>
    </xf>
    <xf numFmtId="0" fontId="49" fillId="0" borderId="67" xfId="0" applyFont="1" applyBorder="1" applyAlignment="1" applyProtection="1">
      <alignment horizontal="center" wrapText="1"/>
      <protection hidden="1"/>
    </xf>
    <xf numFmtId="174" fontId="50" fillId="0" borderId="64" xfId="0" applyNumberFormat="1" applyFont="1" applyBorder="1" applyAlignment="1" applyProtection="1">
      <alignment vertical="center" shrinkToFit="1"/>
      <protection hidden="1"/>
    </xf>
    <xf numFmtId="174" fontId="50" fillId="17" borderId="65" xfId="0" applyNumberFormat="1" applyFont="1" applyFill="1" applyBorder="1" applyAlignment="1" applyProtection="1">
      <alignment vertical="center" shrinkToFit="1"/>
      <protection locked="0"/>
    </xf>
    <xf numFmtId="174" fontId="50" fillId="17" borderId="64" xfId="0" applyNumberFormat="1" applyFont="1" applyFill="1" applyBorder="1" applyAlignment="1" applyProtection="1">
      <alignment vertical="center" shrinkToFit="1"/>
      <protection locked="0"/>
    </xf>
    <xf numFmtId="174" fontId="50" fillId="17" borderId="68" xfId="0" applyNumberFormat="1" applyFont="1" applyFill="1" applyBorder="1" applyAlignment="1" applyProtection="1">
      <alignment vertical="center" shrinkToFit="1"/>
      <protection locked="0"/>
    </xf>
    <xf numFmtId="174" fontId="50" fillId="17" borderId="69" xfId="0" applyNumberFormat="1" applyFont="1" applyFill="1" applyBorder="1" applyAlignment="1" applyProtection="1">
      <alignment vertical="center" shrinkToFit="1"/>
      <protection locked="0"/>
    </xf>
    <xf numFmtId="174" fontId="50" fillId="0" borderId="64" xfId="0" applyNumberFormat="1" applyFont="1" applyBorder="1" applyAlignment="1" applyProtection="1">
      <alignment vertical="center"/>
      <protection hidden="1"/>
    </xf>
    <xf numFmtId="174" fontId="50" fillId="17" borderId="65" xfId="0" applyNumberFormat="1" applyFont="1" applyFill="1" applyBorder="1" applyAlignment="1" applyProtection="1">
      <alignment vertical="center"/>
      <protection locked="0"/>
    </xf>
    <xf numFmtId="174" fontId="50" fillId="17" borderId="64" xfId="0" applyNumberFormat="1" applyFont="1" applyFill="1" applyBorder="1" applyAlignment="1" applyProtection="1">
      <alignment vertical="center"/>
      <protection locked="0"/>
    </xf>
    <xf numFmtId="174" fontId="50" fillId="17" borderId="68" xfId="0" applyNumberFormat="1" applyFont="1" applyFill="1" applyBorder="1" applyAlignment="1" applyProtection="1">
      <alignment vertical="center"/>
      <protection locked="0"/>
    </xf>
    <xf numFmtId="174" fontId="50" fillId="17" borderId="69" xfId="0" applyNumberFormat="1" applyFont="1" applyFill="1" applyBorder="1" applyAlignment="1" applyProtection="1">
      <alignment vertical="center"/>
      <protection locked="0"/>
    </xf>
    <xf numFmtId="0" fontId="23" fillId="27" borderId="0" xfId="0" applyFont="1" applyFill="1" applyAlignment="1" applyProtection="1">
      <alignment/>
      <protection hidden="1"/>
    </xf>
    <xf numFmtId="0" fontId="23" fillId="27" borderId="0" xfId="0" applyFont="1" applyFill="1" applyAlignment="1" applyProtection="1">
      <alignment/>
      <protection hidden="1"/>
    </xf>
    <xf numFmtId="0" fontId="23" fillId="27" borderId="0" xfId="0" applyFont="1" applyFill="1" applyAlignment="1" applyProtection="1">
      <alignment/>
      <protection locked="0"/>
    </xf>
    <xf numFmtId="3" fontId="0" fillId="23" borderId="0" xfId="0" applyNumberFormat="1" applyFont="1" applyFill="1" applyAlignment="1" applyProtection="1">
      <alignment/>
      <protection hidden="1"/>
    </xf>
    <xf numFmtId="0" fontId="23" fillId="23" borderId="0" xfId="0" applyFont="1" applyFill="1" applyAlignment="1" applyProtection="1">
      <alignment/>
      <protection locked="0"/>
    </xf>
    <xf numFmtId="3" fontId="26" fillId="28" borderId="11" xfId="0" applyNumberFormat="1" applyFont="1" applyFill="1" applyBorder="1" applyAlignment="1" applyProtection="1">
      <alignment/>
      <protection locked="0"/>
    </xf>
    <xf numFmtId="0" fontId="26" fillId="28" borderId="11" xfId="0" applyFont="1" applyFill="1" applyBorder="1" applyAlignment="1" applyProtection="1">
      <alignment/>
      <protection locked="0"/>
    </xf>
    <xf numFmtId="3" fontId="0" fillId="29" borderId="11" xfId="0" applyNumberFormat="1" applyFont="1" applyFill="1" applyBorder="1" applyAlignment="1" applyProtection="1">
      <alignment shrinkToFit="1"/>
      <protection locked="0"/>
    </xf>
    <xf numFmtId="10" fontId="26" fillId="28" borderId="11" xfId="0" applyNumberFormat="1" applyFont="1" applyFill="1" applyBorder="1" applyAlignment="1" applyProtection="1">
      <alignment/>
      <protection locked="0"/>
    </xf>
    <xf numFmtId="0" fontId="38" fillId="23" borderId="0" xfId="0" applyFont="1" applyFill="1" applyAlignment="1" applyProtection="1">
      <alignment/>
      <protection hidden="1"/>
    </xf>
    <xf numFmtId="0" fontId="123" fillId="0" borderId="11" xfId="0" applyFont="1" applyFill="1" applyBorder="1" applyAlignment="1" applyProtection="1">
      <alignment/>
      <protection locked="0"/>
    </xf>
    <xf numFmtId="3" fontId="50" fillId="0" borderId="60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49" fillId="17" borderId="54" xfId="0" applyFont="1" applyFill="1" applyBorder="1" applyAlignment="1" applyProtection="1">
      <alignment/>
      <protection hidden="1"/>
    </xf>
    <xf numFmtId="3" fontId="59" fillId="0" borderId="11" xfId="0" applyNumberFormat="1" applyFont="1" applyFill="1" applyBorder="1" applyAlignment="1" applyProtection="1">
      <alignment horizontal="right" wrapText="1"/>
      <protection hidden="1"/>
    </xf>
    <xf numFmtId="0" fontId="125" fillId="0" borderId="0" xfId="0" applyFont="1" applyAlignment="1" applyProtection="1">
      <alignment/>
      <protection hidden="1"/>
    </xf>
    <xf numFmtId="0" fontId="25" fillId="4" borderId="32" xfId="0" applyFont="1" applyFill="1" applyBorder="1" applyAlignment="1" applyProtection="1">
      <alignment horizontal="left" vertical="center"/>
      <protection hidden="1"/>
    </xf>
    <xf numFmtId="0" fontId="0" fillId="23" borderId="0" xfId="0" applyFont="1" applyFill="1" applyBorder="1" applyAlignment="1" applyProtection="1">
      <alignment horizontal="center" vertical="center"/>
      <protection hidden="1"/>
    </xf>
    <xf numFmtId="3" fontId="22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2" xfId="0" applyFill="1" applyBorder="1" applyAlignment="1" applyProtection="1">
      <alignment shrinkToFit="1"/>
      <protection locked="0"/>
    </xf>
    <xf numFmtId="0" fontId="0" fillId="0" borderId="32" xfId="0" applyFill="1" applyBorder="1" applyAlignment="1" applyProtection="1">
      <alignment wrapText="1" shrinkToFit="1"/>
      <protection locked="0"/>
    </xf>
    <xf numFmtId="0" fontId="49" fillId="0" borderId="11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49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23" fillId="4" borderId="16" xfId="0" applyNumberFormat="1" applyFont="1" applyFill="1" applyBorder="1" applyAlignment="1" applyProtection="1">
      <alignment horizontal="center" vertical="center" shrinkToFit="1"/>
      <protection hidden="1"/>
    </xf>
    <xf numFmtId="0" fontId="126" fillId="23" borderId="0" xfId="0" applyFont="1" applyFill="1" applyAlignment="1" applyProtection="1">
      <alignment horizontal="center"/>
      <protection hidden="1"/>
    </xf>
    <xf numFmtId="3" fontId="126" fillId="23" borderId="0" xfId="0" applyNumberFormat="1" applyFont="1" applyFill="1" applyAlignment="1" applyProtection="1">
      <alignment horizontal="center"/>
      <protection hidden="1"/>
    </xf>
    <xf numFmtId="0" fontId="129" fillId="0" borderId="0" xfId="0" applyFont="1" applyAlignment="1" applyProtection="1">
      <alignment/>
      <protection hidden="1"/>
    </xf>
    <xf numFmtId="49" fontId="130" fillId="17" borderId="53" xfId="0" applyNumberFormat="1" applyFont="1" applyFill="1" applyBorder="1" applyAlignment="1" applyProtection="1">
      <alignment horizontal="left"/>
      <protection hidden="1"/>
    </xf>
    <xf numFmtId="49" fontId="130" fillId="17" borderId="0" xfId="0" applyNumberFormat="1" applyFont="1" applyFill="1" applyBorder="1" applyAlignment="1" applyProtection="1">
      <alignment horizontal="left"/>
      <protection hidden="1"/>
    </xf>
    <xf numFmtId="0" fontId="129" fillId="0" borderId="0" xfId="0" applyFont="1" applyBorder="1" applyAlignment="1" applyProtection="1">
      <alignment/>
      <protection hidden="1"/>
    </xf>
    <xf numFmtId="3" fontId="22" fillId="30" borderId="36" xfId="0" applyNumberFormat="1" applyFont="1" applyFill="1" applyBorder="1" applyAlignment="1" applyProtection="1">
      <alignment/>
      <protection locked="0"/>
    </xf>
    <xf numFmtId="174" fontId="132" fillId="0" borderId="0" xfId="0" applyNumberFormat="1" applyFont="1" applyAlignment="1" applyProtection="1">
      <alignment shrinkToFit="1"/>
      <protection hidden="1"/>
    </xf>
    <xf numFmtId="176" fontId="132" fillId="0" borderId="0" xfId="0" applyNumberFormat="1" applyFont="1" applyAlignment="1" applyProtection="1">
      <alignment shrinkToFit="1"/>
      <protection hidden="1"/>
    </xf>
    <xf numFmtId="43" fontId="132" fillId="0" borderId="0" xfId="0" applyNumberFormat="1" applyFont="1" applyAlignment="1" applyProtection="1">
      <alignment/>
      <protection hidden="1"/>
    </xf>
    <xf numFmtId="0" fontId="132" fillId="0" borderId="0" xfId="0" applyFont="1" applyAlignment="1" applyProtection="1">
      <alignment shrinkToFit="1"/>
      <protection hidden="1"/>
    </xf>
    <xf numFmtId="175" fontId="132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33" fillId="0" borderId="0" xfId="0" applyFont="1" applyAlignment="1" applyProtection="1">
      <alignment/>
      <protection hidden="1"/>
    </xf>
    <xf numFmtId="0" fontId="134" fillId="0" borderId="0" xfId="0" applyFont="1" applyAlignment="1" applyProtection="1">
      <alignment/>
      <protection hidden="1"/>
    </xf>
    <xf numFmtId="0" fontId="22" fillId="23" borderId="0" xfId="0" applyFont="1" applyFill="1" applyAlignment="1" applyProtection="1">
      <alignment horizontal="left"/>
      <protection hidden="1"/>
    </xf>
    <xf numFmtId="168" fontId="22" fillId="30" borderId="0" xfId="59" applyNumberFormat="1" applyFont="1" applyFill="1" applyBorder="1" applyAlignment="1" applyProtection="1">
      <alignment vertical="center" wrapText="1"/>
      <protection hidden="1"/>
    </xf>
    <xf numFmtId="168" fontId="22" fillId="0" borderId="14" xfId="59" applyNumberFormat="1" applyFont="1" applyFill="1" applyBorder="1" applyAlignment="1" applyProtection="1">
      <alignment vertical="center" shrinkToFit="1"/>
      <protection locked="0"/>
    </xf>
    <xf numFmtId="168" fontId="22" fillId="30" borderId="60" xfId="59" applyNumberFormat="1" applyFont="1" applyFill="1" applyBorder="1" applyAlignment="1" applyProtection="1">
      <alignment vertical="center" shrinkToFit="1"/>
      <protection locked="0"/>
    </xf>
    <xf numFmtId="168" fontId="22" fillId="0" borderId="70" xfId="59" applyNumberFormat="1" applyFont="1" applyFill="1" applyBorder="1" applyAlignment="1" applyProtection="1">
      <alignment shrinkToFit="1"/>
      <protection locked="0"/>
    </xf>
    <xf numFmtId="168" fontId="22" fillId="0" borderId="71" xfId="59" applyNumberFormat="1" applyFont="1" applyFill="1" applyBorder="1" applyAlignment="1" applyProtection="1">
      <alignment shrinkToFit="1"/>
      <protection locked="0"/>
    </xf>
    <xf numFmtId="168" fontId="23" fillId="0" borderId="71" xfId="59" applyNumberFormat="1" applyFont="1" applyFill="1" applyBorder="1" applyAlignment="1" applyProtection="1">
      <alignment shrinkToFit="1"/>
      <protection locked="0"/>
    </xf>
    <xf numFmtId="168" fontId="22" fillId="23" borderId="52" xfId="59" applyNumberFormat="1" applyFont="1" applyFill="1" applyBorder="1" applyAlignment="1" applyProtection="1">
      <alignment shrinkToFit="1"/>
      <protection hidden="1"/>
    </xf>
    <xf numFmtId="168" fontId="22" fillId="0" borderId="52" xfId="59" applyNumberFormat="1" applyFont="1" applyFill="1" applyBorder="1" applyAlignment="1" applyProtection="1">
      <alignment shrinkToFit="1"/>
      <protection locked="0"/>
    </xf>
    <xf numFmtId="168" fontId="22" fillId="0" borderId="72" xfId="59" applyNumberFormat="1" applyFont="1" applyFill="1" applyBorder="1" applyAlignment="1" applyProtection="1">
      <alignment shrinkToFit="1"/>
      <protection locked="0"/>
    </xf>
    <xf numFmtId="168" fontId="22" fillId="23" borderId="28" xfId="59" applyNumberFormat="1" applyFont="1" applyFill="1" applyBorder="1" applyAlignment="1" applyProtection="1">
      <alignment shrinkToFit="1"/>
      <protection hidden="1"/>
    </xf>
    <xf numFmtId="168" fontId="22" fillId="4" borderId="72" xfId="59" applyNumberFormat="1" applyFont="1" applyFill="1" applyBorder="1" applyAlignment="1" applyProtection="1">
      <alignment shrinkToFit="1"/>
      <protection hidden="1"/>
    </xf>
    <xf numFmtId="168" fontId="22" fillId="0" borderId="23" xfId="59" applyNumberFormat="1" applyFont="1" applyFill="1" applyBorder="1" applyAlignment="1" applyProtection="1">
      <alignment vertical="center" shrinkToFit="1"/>
      <protection locked="0"/>
    </xf>
    <xf numFmtId="168" fontId="22" fillId="0" borderId="72" xfId="59" applyNumberFormat="1" applyFont="1" applyFill="1" applyBorder="1" applyAlignment="1" applyProtection="1">
      <alignment vertical="center" shrinkToFit="1"/>
      <protection locked="0"/>
    </xf>
    <xf numFmtId="168" fontId="22" fillId="0" borderId="60" xfId="59" applyNumberFormat="1" applyFont="1" applyFill="1" applyBorder="1" applyAlignment="1" applyProtection="1">
      <alignment vertical="center" shrinkToFit="1"/>
      <protection locked="0"/>
    </xf>
    <xf numFmtId="168" fontId="22" fillId="0" borderId="29" xfId="59" applyNumberFormat="1" applyFont="1" applyFill="1" applyBorder="1" applyAlignment="1" applyProtection="1">
      <alignment vertical="center" shrinkToFit="1"/>
      <protection locked="0"/>
    </xf>
    <xf numFmtId="174" fontId="83" fillId="0" borderId="0" xfId="0" applyNumberFormat="1" applyFont="1" applyAlignment="1" applyProtection="1">
      <alignment shrinkToFit="1"/>
      <protection hidden="1"/>
    </xf>
    <xf numFmtId="0" fontId="0" fillId="23" borderId="0" xfId="0" applyFill="1" applyAlignment="1" applyProtection="1">
      <alignment horizontal="center"/>
      <protection hidden="1"/>
    </xf>
    <xf numFmtId="3" fontId="23" fillId="23" borderId="0" xfId="0" applyNumberFormat="1" applyFont="1" applyFill="1" applyBorder="1" applyAlignment="1" applyProtection="1">
      <alignment horizontal="right" shrinkToFit="1"/>
      <protection hidden="1"/>
    </xf>
    <xf numFmtId="0" fontId="74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31" borderId="0" xfId="0" applyFont="1" applyFill="1" applyAlignment="1" applyProtection="1">
      <alignment/>
      <protection hidden="1"/>
    </xf>
    <xf numFmtId="0" fontId="0" fillId="31" borderId="0" xfId="0" applyFill="1" applyAlignment="1" applyProtection="1">
      <alignment/>
      <protection hidden="1"/>
    </xf>
    <xf numFmtId="0" fontId="22" fillId="31" borderId="0" xfId="0" applyFont="1" applyFill="1" applyAlignment="1" applyProtection="1">
      <alignment/>
      <protection hidden="1"/>
    </xf>
    <xf numFmtId="164" fontId="0" fillId="31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31" borderId="0" xfId="0" applyFont="1" applyFill="1" applyAlignment="1" applyProtection="1">
      <alignment/>
      <protection hidden="1"/>
    </xf>
    <xf numFmtId="0" fontId="0" fillId="31" borderId="0" xfId="0" applyFont="1" applyFill="1" applyAlignment="1" applyProtection="1">
      <alignment/>
      <protection hidden="1"/>
    </xf>
    <xf numFmtId="0" fontId="0" fillId="31" borderId="0" xfId="0" applyFont="1" applyFill="1" applyAlignment="1" applyProtection="1">
      <alignment/>
      <protection hidden="1"/>
    </xf>
    <xf numFmtId="0" fontId="24" fillId="31" borderId="0" xfId="43" applyNumberFormat="1" applyFont="1" applyFill="1" applyBorder="1" applyAlignment="1" applyProtection="1">
      <alignment/>
      <protection hidden="1"/>
    </xf>
    <xf numFmtId="0" fontId="31" fillId="31" borderId="0" xfId="0" applyFont="1" applyFill="1" applyAlignment="1" applyProtection="1">
      <alignment/>
      <protection hidden="1"/>
    </xf>
    <xf numFmtId="0" fontId="32" fillId="31" borderId="0" xfId="0" applyFont="1" applyFill="1" applyAlignment="1" applyProtection="1">
      <alignment/>
      <protection hidden="1"/>
    </xf>
    <xf numFmtId="0" fontId="24" fillId="0" borderId="0" xfId="43" applyNumberFormat="1" applyFill="1" applyBorder="1" applyAlignment="1" applyProtection="1">
      <alignment/>
      <protection hidden="1"/>
    </xf>
    <xf numFmtId="10" fontId="0" fillId="29" borderId="11" xfId="64" applyNumberFormat="1" applyFont="1" applyFill="1" applyBorder="1" applyAlignment="1" applyProtection="1">
      <alignment horizontal="right"/>
      <protection hidden="1"/>
    </xf>
    <xf numFmtId="0" fontId="21" fillId="32" borderId="21" xfId="56" applyFont="1" applyFill="1" applyBorder="1" applyAlignment="1" applyProtection="1">
      <alignment horizontal="left"/>
      <protection hidden="1"/>
    </xf>
    <xf numFmtId="0" fontId="21" fillId="32" borderId="0" xfId="56" applyFont="1" applyFill="1" applyBorder="1" applyAlignment="1" applyProtection="1">
      <alignment horizontal="left"/>
      <protection hidden="1"/>
    </xf>
    <xf numFmtId="0" fontId="0" fillId="23" borderId="11" xfId="0" applyFont="1" applyFill="1" applyBorder="1" applyAlignment="1" applyProtection="1">
      <alignment/>
      <protection hidden="1"/>
    </xf>
    <xf numFmtId="0" fontId="0" fillId="30" borderId="0" xfId="0" applyFont="1" applyFill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174" fontId="87" fillId="0" borderId="11" xfId="0" applyNumberFormat="1" applyFont="1" applyBorder="1" applyAlignment="1" applyProtection="1">
      <alignment horizontal="right" vertical="center" shrinkToFit="1"/>
      <protection locked="0"/>
    </xf>
    <xf numFmtId="174" fontId="87" fillId="0" borderId="65" xfId="0" applyNumberFormat="1" applyFont="1" applyFill="1" applyBorder="1" applyAlignment="1" applyProtection="1">
      <alignment horizontal="right" vertical="center" shrinkToFit="1"/>
      <protection locked="0"/>
    </xf>
    <xf numFmtId="174" fontId="87" fillId="0" borderId="73" xfId="0" applyNumberFormat="1" applyFont="1" applyFill="1" applyBorder="1" applyAlignment="1" applyProtection="1">
      <alignment horizontal="right" vertical="center" shrinkToFit="1"/>
      <protection locked="0"/>
    </xf>
    <xf numFmtId="174" fontId="89" fillId="0" borderId="65" xfId="0" applyNumberFormat="1" applyFont="1" applyFill="1" applyBorder="1" applyAlignment="1" applyProtection="1">
      <alignment horizontal="right" vertical="center" shrinkToFit="1"/>
      <protection locked="0"/>
    </xf>
    <xf numFmtId="174" fontId="87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56" xfId="0" applyFont="1" applyFill="1" applyBorder="1" applyAlignment="1" applyProtection="1">
      <alignment horizontal="center" shrinkToFit="1"/>
      <protection locked="0"/>
    </xf>
    <xf numFmtId="0" fontId="24" fillId="31" borderId="0" xfId="43" applyNumberFormat="1" applyFill="1" applyBorder="1" applyAlignment="1" applyProtection="1">
      <alignment/>
      <protection hidden="1"/>
    </xf>
    <xf numFmtId="0" fontId="14" fillId="30" borderId="60" xfId="56" applyFont="1" applyFill="1" applyBorder="1" applyAlignment="1" applyProtection="1">
      <alignment horizontal="center"/>
      <protection hidden="1"/>
    </xf>
    <xf numFmtId="0" fontId="14" fillId="23" borderId="61" xfId="56" applyFont="1" applyFill="1" applyBorder="1" applyAlignment="1" applyProtection="1">
      <alignment horizontal="center"/>
      <protection hidden="1"/>
    </xf>
    <xf numFmtId="0" fontId="14" fillId="30" borderId="0" xfId="56" applyFont="1" applyFill="1" applyBorder="1" applyAlignment="1" applyProtection="1">
      <alignment horizontal="center"/>
      <protection hidden="1"/>
    </xf>
    <xf numFmtId="0" fontId="14" fillId="30" borderId="67" xfId="56" applyFont="1" applyFill="1" applyBorder="1" applyAlignment="1" applyProtection="1">
      <alignment horizontal="left"/>
      <protection hidden="1"/>
    </xf>
    <xf numFmtId="0" fontId="14" fillId="32" borderId="44" xfId="56" applyFont="1" applyFill="1" applyBorder="1" applyAlignment="1" applyProtection="1">
      <alignment horizontal="center"/>
      <protection hidden="1"/>
    </xf>
    <xf numFmtId="0" fontId="14" fillId="30" borderId="45" xfId="56" applyFont="1" applyFill="1" applyBorder="1" applyAlignment="1" applyProtection="1">
      <alignment horizontal="center"/>
      <protection hidden="1"/>
    </xf>
    <xf numFmtId="0" fontId="14" fillId="30" borderId="74" xfId="56" applyFont="1" applyFill="1" applyBorder="1" applyAlignment="1" applyProtection="1">
      <alignment horizontal="center"/>
      <protection hidden="1"/>
    </xf>
    <xf numFmtId="0" fontId="14" fillId="32" borderId="45" xfId="56" applyFont="1" applyFill="1" applyBorder="1" applyAlignment="1" applyProtection="1">
      <alignment horizontal="center"/>
      <protection hidden="1"/>
    </xf>
    <xf numFmtId="0" fontId="14" fillId="32" borderId="75" xfId="56" applyFont="1" applyFill="1" applyBorder="1" applyAlignment="1" applyProtection="1">
      <alignment horizontal="center"/>
      <protection hidden="1"/>
    </xf>
    <xf numFmtId="0" fontId="22" fillId="30" borderId="11" xfId="0" applyFont="1" applyFill="1" applyBorder="1" applyAlignment="1" applyProtection="1">
      <alignment horizontal="center"/>
      <protection hidden="1"/>
    </xf>
    <xf numFmtId="49" fontId="0" fillId="30" borderId="11" xfId="0" applyNumberFormat="1" applyFill="1" applyBorder="1" applyAlignment="1" applyProtection="1">
      <alignment/>
      <protection hidden="1"/>
    </xf>
    <xf numFmtId="10" fontId="0" fillId="30" borderId="11" xfId="64" applyNumberFormat="1" applyFont="1" applyFill="1" applyBorder="1" applyAlignment="1" applyProtection="1">
      <alignment horizontal="right"/>
      <protection hidden="1"/>
    </xf>
    <xf numFmtId="10" fontId="26" fillId="23" borderId="0" xfId="0" applyNumberFormat="1" applyFont="1" applyFill="1" applyAlignment="1" applyProtection="1">
      <alignment/>
      <protection hidden="1"/>
    </xf>
    <xf numFmtId="49" fontId="0" fillId="30" borderId="11" xfId="0" applyNumberFormat="1" applyFill="1" applyBorder="1" applyAlignment="1" applyProtection="1">
      <alignment/>
      <protection hidden="1"/>
    </xf>
    <xf numFmtId="0" fontId="0" fillId="30" borderId="11" xfId="0" applyFill="1" applyBorder="1" applyAlignment="1" applyProtection="1">
      <alignment horizontal="center"/>
      <protection hidden="1"/>
    </xf>
    <xf numFmtId="0" fontId="0" fillId="30" borderId="11" xfId="0" applyFont="1" applyFill="1" applyBorder="1" applyAlignment="1" applyProtection="1">
      <alignment horizontal="center"/>
      <protection hidden="1"/>
    </xf>
    <xf numFmtId="0" fontId="0" fillId="30" borderId="11" xfId="0" applyNumberFormat="1" applyFill="1" applyBorder="1" applyAlignment="1" applyProtection="1">
      <alignment horizontal="center"/>
      <protection hidden="1"/>
    </xf>
    <xf numFmtId="0" fontId="25" fillId="30" borderId="11" xfId="0" applyFont="1" applyFill="1" applyBorder="1" applyAlignment="1" applyProtection="1">
      <alignment horizontal="center"/>
      <protection hidden="1"/>
    </xf>
    <xf numFmtId="165" fontId="64" fillId="31" borderId="0" xfId="0" applyNumberFormat="1" applyFont="1" applyFill="1" applyBorder="1" applyAlignment="1" applyProtection="1">
      <alignment horizontal="center" vertical="center"/>
      <protection locked="0"/>
    </xf>
    <xf numFmtId="0" fontId="137" fillId="0" borderId="0" xfId="43" applyFont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5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3" fontId="102" fillId="0" borderId="0" xfId="40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1" fontId="140" fillId="0" borderId="0" xfId="0" applyNumberFormat="1" applyFont="1" applyAlignment="1" applyProtection="1">
      <alignment/>
      <protection locked="0"/>
    </xf>
    <xf numFmtId="0" fontId="142" fillId="0" borderId="0" xfId="0" applyFont="1" applyBorder="1" applyAlignment="1" applyProtection="1">
      <alignment horizontal="center"/>
      <protection hidden="1"/>
    </xf>
    <xf numFmtId="0" fontId="143" fillId="0" borderId="0" xfId="0" applyFont="1" applyBorder="1" applyAlignment="1" applyProtection="1">
      <alignment/>
      <protection hidden="1"/>
    </xf>
    <xf numFmtId="14" fontId="144" fillId="0" borderId="0" xfId="0" applyNumberFormat="1" applyFont="1" applyAlignment="1" applyProtection="1">
      <alignment/>
      <protection hidden="1"/>
    </xf>
    <xf numFmtId="1" fontId="144" fillId="0" borderId="0" xfId="0" applyNumberFormat="1" applyFont="1" applyAlignment="1" applyProtection="1">
      <alignment/>
      <protection hidden="1"/>
    </xf>
    <xf numFmtId="49" fontId="0" fillId="23" borderId="11" xfId="0" applyNumberFormat="1" applyFill="1" applyBorder="1" applyAlignment="1" applyProtection="1">
      <alignment/>
      <protection hidden="1"/>
    </xf>
    <xf numFmtId="0" fontId="49" fillId="0" borderId="0" xfId="0" applyFont="1" applyBorder="1" applyAlignment="1" applyProtection="1">
      <alignment wrapText="1"/>
      <protection hidden="1"/>
    </xf>
    <xf numFmtId="0" fontId="144" fillId="0" borderId="0" xfId="0" applyFont="1" applyAlignment="1" applyProtection="1">
      <alignment/>
      <protection hidden="1"/>
    </xf>
    <xf numFmtId="49" fontId="59" fillId="17" borderId="53" xfId="0" applyNumberFormat="1" applyFont="1" applyFill="1" applyBorder="1" applyAlignment="1" applyProtection="1">
      <alignment horizontal="left"/>
      <protection hidden="1"/>
    </xf>
    <xf numFmtId="0" fontId="49" fillId="0" borderId="60" xfId="0" applyFont="1" applyBorder="1" applyAlignment="1" applyProtection="1">
      <alignment/>
      <protection hidden="1"/>
    </xf>
    <xf numFmtId="0" fontId="49" fillId="0" borderId="6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center" vertical="top" shrinkToFit="1"/>
      <protection hidden="1"/>
    </xf>
    <xf numFmtId="174" fontId="50" fillId="0" borderId="0" xfId="0" applyNumberFormat="1" applyFont="1" applyBorder="1" applyAlignment="1" applyProtection="1">
      <alignment vertical="center" shrinkToFit="1"/>
      <protection hidden="1"/>
    </xf>
    <xf numFmtId="0" fontId="144" fillId="0" borderId="0" xfId="0" applyFont="1" applyBorder="1" applyAlignment="1" applyProtection="1">
      <alignment/>
      <protection hidden="1"/>
    </xf>
    <xf numFmtId="0" fontId="49" fillId="29" borderId="0" xfId="0" applyFont="1" applyFill="1" applyBorder="1" applyAlignment="1" applyProtection="1">
      <alignment horizontal="center" vertical="top" shrinkToFit="1"/>
      <protection hidden="1"/>
    </xf>
    <xf numFmtId="0" fontId="50" fillId="29" borderId="0" xfId="0" applyFont="1" applyFill="1" applyBorder="1" applyAlignment="1" applyProtection="1">
      <alignment wrapText="1"/>
      <protection hidden="1"/>
    </xf>
    <xf numFmtId="0" fontId="49" fillId="29" borderId="0" xfId="0" applyFont="1" applyFill="1" applyBorder="1" applyAlignment="1" applyProtection="1">
      <alignment/>
      <protection hidden="1"/>
    </xf>
    <xf numFmtId="174" fontId="50" fillId="29" borderId="0" xfId="0" applyNumberFormat="1" applyFont="1" applyFill="1" applyBorder="1" applyAlignment="1" applyProtection="1">
      <alignment vertical="center" shrinkToFit="1"/>
      <protection hidden="1"/>
    </xf>
    <xf numFmtId="0" fontId="60" fillId="29" borderId="0" xfId="0" applyFont="1" applyFill="1" applyBorder="1" applyAlignment="1" applyProtection="1">
      <alignment/>
      <protection hidden="1"/>
    </xf>
    <xf numFmtId="0" fontId="69" fillId="29" borderId="0" xfId="0" applyFont="1" applyFill="1" applyBorder="1" applyAlignment="1" applyProtection="1">
      <alignment/>
      <protection hidden="1"/>
    </xf>
    <xf numFmtId="0" fontId="144" fillId="29" borderId="0" xfId="0" applyFont="1" applyFill="1" applyBorder="1" applyAlignment="1" applyProtection="1">
      <alignment/>
      <protection hidden="1"/>
    </xf>
    <xf numFmtId="0" fontId="49" fillId="0" borderId="76" xfId="0" applyFont="1" applyBorder="1" applyAlignment="1" applyProtection="1">
      <alignment horizontal="center" vertical="top" shrinkToFit="1"/>
      <protection locked="0"/>
    </xf>
    <xf numFmtId="0" fontId="49" fillId="0" borderId="77" xfId="0" applyFont="1" applyBorder="1" applyAlignment="1" applyProtection="1">
      <alignment/>
      <protection hidden="1"/>
    </xf>
    <xf numFmtId="174" fontId="50" fillId="31" borderId="78" xfId="0" applyNumberFormat="1" applyFont="1" applyFill="1" applyBorder="1" applyAlignment="1" applyProtection="1">
      <alignment vertical="center" shrinkToFit="1"/>
      <protection locked="0"/>
    </xf>
    <xf numFmtId="0" fontId="75" fillId="29" borderId="0" xfId="0" applyFont="1" applyFill="1" applyAlignment="1" applyProtection="1">
      <alignment/>
      <protection hidden="1"/>
    </xf>
    <xf numFmtId="0" fontId="49" fillId="29" borderId="0" xfId="0" applyFont="1" applyFill="1" applyAlignment="1" applyProtection="1">
      <alignment/>
      <protection hidden="1"/>
    </xf>
    <xf numFmtId="0" fontId="69" fillId="29" borderId="0" xfId="0" applyFont="1" applyFill="1" applyAlignment="1" applyProtection="1">
      <alignment/>
      <protection hidden="1"/>
    </xf>
    <xf numFmtId="0" fontId="49" fillId="0" borderId="79" xfId="0" applyFont="1" applyBorder="1" applyAlignment="1" applyProtection="1">
      <alignment horizontal="center" vertical="top" shrinkToFit="1"/>
      <protection locked="0"/>
    </xf>
    <xf numFmtId="174" fontId="50" fillId="29" borderId="80" xfId="0" applyNumberFormat="1" applyFont="1" applyFill="1" applyBorder="1" applyAlignment="1" applyProtection="1">
      <alignment vertical="center" shrinkToFit="1"/>
      <protection locked="0"/>
    </xf>
    <xf numFmtId="0" fontId="75" fillId="29" borderId="0" xfId="0" applyFont="1" applyFill="1" applyBorder="1" applyAlignment="1" applyProtection="1">
      <alignment/>
      <protection hidden="1"/>
    </xf>
    <xf numFmtId="0" fontId="49" fillId="0" borderId="81" xfId="0" applyFont="1" applyBorder="1" applyAlignment="1" applyProtection="1">
      <alignment horizontal="center" vertical="top" shrinkToFit="1"/>
      <protection hidden="1"/>
    </xf>
    <xf numFmtId="174" fontId="50" fillId="31" borderId="82" xfId="0" applyNumberFormat="1" applyFont="1" applyFill="1" applyBorder="1" applyAlignment="1" applyProtection="1">
      <alignment vertical="center" shrinkToFit="1"/>
      <protection locked="0"/>
    </xf>
    <xf numFmtId="0" fontId="73" fillId="29" borderId="0" xfId="0" applyFont="1" applyFill="1" applyBorder="1" applyAlignment="1" applyProtection="1">
      <alignment/>
      <protection hidden="1"/>
    </xf>
    <xf numFmtId="3" fontId="49" fillId="29" borderId="0" xfId="0" applyNumberFormat="1" applyFont="1" applyFill="1" applyBorder="1" applyAlignment="1" applyProtection="1">
      <alignment/>
      <protection locked="0"/>
    </xf>
    <xf numFmtId="0" fontId="49" fillId="0" borderId="79" xfId="0" applyFont="1" applyBorder="1" applyAlignment="1" applyProtection="1">
      <alignment horizontal="center" vertical="top" shrinkToFit="1"/>
      <protection hidden="1"/>
    </xf>
    <xf numFmtId="0" fontId="81" fillId="33" borderId="0" xfId="0" applyFont="1" applyFill="1" applyBorder="1" applyAlignment="1" applyProtection="1">
      <alignment/>
      <protection hidden="1"/>
    </xf>
    <xf numFmtId="174" fontId="50" fillId="29" borderId="82" xfId="0" applyNumberFormat="1" applyFont="1" applyFill="1" applyBorder="1" applyAlignment="1" applyProtection="1">
      <alignment vertical="center" shrinkToFit="1"/>
      <protection hidden="1"/>
    </xf>
    <xf numFmtId="0" fontId="49" fillId="0" borderId="83" xfId="0" applyFont="1" applyBorder="1" applyAlignment="1" applyProtection="1">
      <alignment horizontal="center" vertical="top" shrinkToFit="1"/>
      <protection hidden="1"/>
    </xf>
    <xf numFmtId="0" fontId="49" fillId="0" borderId="74" xfId="0" applyFont="1" applyBorder="1" applyAlignment="1" applyProtection="1">
      <alignment/>
      <protection hidden="1"/>
    </xf>
    <xf numFmtId="174" fontId="50" fillId="29" borderId="84" xfId="0" applyNumberFormat="1" applyFont="1" applyFill="1" applyBorder="1" applyAlignment="1" applyProtection="1">
      <alignment vertical="center" shrinkToFit="1"/>
      <protection hidden="1"/>
    </xf>
    <xf numFmtId="0" fontId="49" fillId="29" borderId="0" xfId="0" applyFont="1" applyFill="1" applyBorder="1" applyAlignment="1" applyProtection="1">
      <alignment/>
      <protection hidden="1"/>
    </xf>
    <xf numFmtId="174" fontId="50" fillId="0" borderId="0" xfId="0" applyNumberFormat="1" applyFont="1" applyFill="1" applyBorder="1" applyAlignment="1" applyProtection="1">
      <alignment vertical="center" shrinkToFit="1"/>
      <protection hidden="1"/>
    </xf>
    <xf numFmtId="0" fontId="49" fillId="0" borderId="85" xfId="0" applyFont="1" applyBorder="1" applyAlignment="1" applyProtection="1">
      <alignment horizontal="center" vertical="top" shrinkToFit="1"/>
      <protection hidden="1"/>
    </xf>
    <xf numFmtId="0" fontId="49" fillId="0" borderId="86" xfId="0" applyFont="1" applyBorder="1" applyAlignment="1" applyProtection="1">
      <alignment/>
      <protection hidden="1"/>
    </xf>
    <xf numFmtId="0" fontId="49" fillId="0" borderId="87" xfId="0" applyFont="1" applyBorder="1" applyAlignment="1" applyProtection="1">
      <alignment horizontal="center" vertical="top" shrinkToFit="1"/>
      <protection hidden="1"/>
    </xf>
    <xf numFmtId="0" fontId="49" fillId="0" borderId="88" xfId="0" applyFont="1" applyBorder="1" applyAlignment="1" applyProtection="1">
      <alignment/>
      <protection hidden="1"/>
    </xf>
    <xf numFmtId="0" fontId="49" fillId="29" borderId="0" xfId="0" applyFont="1" applyFill="1" applyBorder="1" applyAlignment="1" applyProtection="1">
      <alignment wrapText="1"/>
      <protection hidden="1"/>
    </xf>
    <xf numFmtId="174" fontId="50" fillId="29" borderId="0" xfId="0" applyNumberFormat="1" applyFont="1" applyFill="1" applyBorder="1" applyAlignment="1" applyProtection="1">
      <alignment vertical="center" shrinkToFit="1"/>
      <protection locked="0"/>
    </xf>
    <xf numFmtId="174" fontId="50" fillId="31" borderId="64" xfId="0" applyNumberFormat="1" applyFont="1" applyFill="1" applyBorder="1" applyAlignment="1" applyProtection="1">
      <alignment vertical="center" shrinkToFit="1"/>
      <protection locked="0"/>
    </xf>
    <xf numFmtId="0" fontId="65" fillId="0" borderId="0" xfId="0" applyFont="1" applyBorder="1" applyAlignment="1" applyProtection="1">
      <alignment horizontal="left" shrinkToFit="1"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88" fillId="0" borderId="0" xfId="0" applyFont="1" applyAlignment="1">
      <alignment/>
    </xf>
    <xf numFmtId="0" fontId="147" fillId="0" borderId="0" xfId="0" applyFont="1" applyAlignment="1">
      <alignment horizontal="right"/>
    </xf>
    <xf numFmtId="0" fontId="88" fillId="0" borderId="89" xfId="0" applyFont="1" applyBorder="1" applyAlignment="1">
      <alignment/>
    </xf>
    <xf numFmtId="0" fontId="88" fillId="0" borderId="90" xfId="0" applyFont="1" applyBorder="1" applyAlignment="1">
      <alignment/>
    </xf>
    <xf numFmtId="0" fontId="88" fillId="0" borderId="91" xfId="0" applyFont="1" applyBorder="1" applyAlignment="1">
      <alignment/>
    </xf>
    <xf numFmtId="0" fontId="88" fillId="0" borderId="0" xfId="0" applyFont="1" applyFill="1" applyAlignment="1">
      <alignment/>
    </xf>
    <xf numFmtId="0" fontId="98" fillId="0" borderId="61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8" fillId="0" borderId="62" xfId="0" applyFont="1" applyFill="1" applyBorder="1" applyAlignment="1">
      <alignment horizontal="center"/>
    </xf>
    <xf numFmtId="0" fontId="98" fillId="0" borderId="92" xfId="0" applyFont="1" applyBorder="1" applyAlignment="1">
      <alignment horizontal="center"/>
    </xf>
    <xf numFmtId="0" fontId="98" fillId="0" borderId="93" xfId="0" applyFont="1" applyBorder="1" applyAlignment="1">
      <alignment horizontal="center"/>
    </xf>
    <xf numFmtId="0" fontId="88" fillId="0" borderId="93" xfId="0" applyFont="1" applyBorder="1" applyAlignment="1">
      <alignment horizontal="center"/>
    </xf>
    <xf numFmtId="0" fontId="88" fillId="0" borderId="94" xfId="0" applyFont="1" applyBorder="1" applyAlignment="1">
      <alignment horizontal="center"/>
    </xf>
    <xf numFmtId="0" fontId="98" fillId="0" borderId="0" xfId="0" applyFont="1" applyAlignment="1">
      <alignment/>
    </xf>
    <xf numFmtId="0" fontId="153" fillId="0" borderId="0" xfId="0" applyFont="1" applyAlignment="1">
      <alignment/>
    </xf>
    <xf numFmtId="178" fontId="88" fillId="0" borderId="0" xfId="0" applyNumberFormat="1" applyFont="1" applyAlignment="1">
      <alignment/>
    </xf>
    <xf numFmtId="0" fontId="89" fillId="0" borderId="95" xfId="0" applyFont="1" applyBorder="1" applyAlignment="1">
      <alignment vertical="center"/>
    </xf>
    <xf numFmtId="0" fontId="88" fillId="0" borderId="91" xfId="0" applyFont="1" applyBorder="1" applyAlignment="1">
      <alignment vertical="center"/>
    </xf>
    <xf numFmtId="178" fontId="87" fillId="0" borderId="63" xfId="0" applyNumberFormat="1" applyFont="1" applyFill="1" applyBorder="1" applyAlignment="1" applyProtection="1">
      <alignment horizontal="right" vertical="center" shrinkToFit="1"/>
      <protection/>
    </xf>
    <xf numFmtId="178" fontId="106" fillId="0" borderId="60" xfId="0" applyNumberFormat="1" applyFont="1" applyFill="1" applyBorder="1" applyAlignment="1" applyProtection="1">
      <alignment horizontal="center" vertical="center" shrinkToFit="1"/>
      <protection/>
    </xf>
    <xf numFmtId="0" fontId="88" fillId="0" borderId="95" xfId="0" applyFont="1" applyBorder="1" applyAlignment="1">
      <alignment vertical="center"/>
    </xf>
    <xf numFmtId="49" fontId="88" fillId="0" borderId="91" xfId="0" applyNumberFormat="1" applyFont="1" applyBorder="1" applyAlignment="1">
      <alignment horizontal="left" vertical="center"/>
    </xf>
    <xf numFmtId="178" fontId="87" fillId="31" borderId="63" xfId="0" applyNumberFormat="1" applyFont="1" applyFill="1" applyBorder="1" applyAlignment="1" applyProtection="1">
      <alignment horizontal="right" vertical="center" shrinkToFit="1"/>
      <protection locked="0"/>
    </xf>
    <xf numFmtId="0" fontId="106" fillId="0" borderId="0" xfId="0" applyFont="1" applyAlignment="1">
      <alignment/>
    </xf>
    <xf numFmtId="0" fontId="89" fillId="0" borderId="95" xfId="0" applyFont="1" applyBorder="1" applyAlignment="1">
      <alignment horizontal="center" vertical="center"/>
    </xf>
    <xf numFmtId="49" fontId="88" fillId="0" borderId="91" xfId="0" applyNumberFormat="1" applyFont="1" applyBorder="1" applyAlignment="1">
      <alignment horizontal="right"/>
    </xf>
    <xf numFmtId="49" fontId="88" fillId="0" borderId="91" xfId="0" applyNumberFormat="1" applyFont="1" applyBorder="1" applyAlignment="1">
      <alignment/>
    </xf>
    <xf numFmtId="0" fontId="88" fillId="0" borderId="95" xfId="0" applyFont="1" applyBorder="1" applyAlignment="1">
      <alignment/>
    </xf>
    <xf numFmtId="49" fontId="88" fillId="0" borderId="91" xfId="0" applyNumberFormat="1" applyFont="1" applyBorder="1" applyAlignment="1">
      <alignment horizontal="center" vertical="center"/>
    </xf>
    <xf numFmtId="178" fontId="87" fillId="0" borderId="63" xfId="0" applyNumberFormat="1" applyFont="1" applyFill="1" applyBorder="1" applyAlignment="1" applyProtection="1">
      <alignment horizontal="right" vertical="center" shrinkToFit="1"/>
      <protection hidden="1"/>
    </xf>
    <xf numFmtId="178" fontId="106" fillId="0" borderId="0" xfId="0" applyNumberFormat="1" applyFont="1" applyAlignment="1">
      <alignment/>
    </xf>
    <xf numFmtId="0" fontId="88" fillId="0" borderId="92" xfId="0" applyFont="1" applyBorder="1" applyAlignment="1">
      <alignment vertical="center"/>
    </xf>
    <xf numFmtId="49" fontId="88" fillId="0" borderId="93" xfId="0" applyNumberFormat="1" applyFont="1" applyBorder="1" applyAlignment="1">
      <alignment horizontal="left" vertical="center"/>
    </xf>
    <xf numFmtId="49" fontId="88" fillId="0" borderId="91" xfId="0" applyNumberFormat="1" applyFont="1" applyBorder="1" applyAlignment="1">
      <alignment horizontal="left"/>
    </xf>
    <xf numFmtId="0" fontId="50" fillId="0" borderId="96" xfId="0" applyFont="1" applyFill="1" applyBorder="1" applyAlignment="1" applyProtection="1">
      <alignment horizontal="center" shrinkToFit="1"/>
      <protection hidden="1"/>
    </xf>
    <xf numFmtId="0" fontId="88" fillId="0" borderId="0" xfId="0" applyFont="1" applyFill="1" applyBorder="1" applyAlignment="1" applyProtection="1">
      <alignment horizontal="right" shrinkToFit="1"/>
      <protection locked="0"/>
    </xf>
    <xf numFmtId="0" fontId="88" fillId="0" borderId="0" xfId="0" applyFont="1" applyFill="1" applyAlignment="1">
      <alignment horizontal="left"/>
    </xf>
    <xf numFmtId="0" fontId="105" fillId="0" borderId="0" xfId="0" applyFont="1" applyFill="1" applyAlignment="1">
      <alignment horizontal="center"/>
    </xf>
    <xf numFmtId="0" fontId="1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49" fontId="49" fillId="17" borderId="53" xfId="0" applyNumberFormat="1" applyFont="1" applyFill="1" applyBorder="1" applyAlignment="1" applyProtection="1">
      <alignment horizontal="left"/>
      <protection hidden="1"/>
    </xf>
    <xf numFmtId="49" fontId="49" fillId="17" borderId="39" xfId="0" applyNumberFormat="1" applyFont="1" applyFill="1" applyBorder="1" applyAlignment="1" applyProtection="1">
      <alignment horizontal="left"/>
      <protection hidden="1"/>
    </xf>
    <xf numFmtId="49" fontId="129" fillId="17" borderId="53" xfId="0" applyNumberFormat="1" applyFont="1" applyFill="1" applyBorder="1" applyAlignment="1" applyProtection="1">
      <alignment horizontal="left"/>
      <protection hidden="1"/>
    </xf>
    <xf numFmtId="49" fontId="129" fillId="17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59" fillId="0" borderId="55" xfId="0" applyFont="1" applyBorder="1" applyAlignment="1" applyProtection="1">
      <alignment horizontal="left"/>
      <protection hidden="1"/>
    </xf>
    <xf numFmtId="0" fontId="50" fillId="34" borderId="55" xfId="0" applyFont="1" applyFill="1" applyBorder="1" applyAlignment="1" applyProtection="1">
      <alignment horizontal="center" vertical="center" shrinkToFit="1"/>
      <protection hidden="1"/>
    </xf>
    <xf numFmtId="0" fontId="50" fillId="34" borderId="0" xfId="0" applyFont="1" applyFill="1" applyBorder="1" applyAlignment="1" applyProtection="1">
      <alignment horizontal="center" vertical="center" shrinkToFit="1"/>
      <protection hidden="1"/>
    </xf>
    <xf numFmtId="0" fontId="50" fillId="34" borderId="46" xfId="0" applyFont="1" applyFill="1" applyBorder="1" applyAlignment="1" applyProtection="1">
      <alignment horizontal="center" vertical="center" shrinkToFit="1"/>
      <protection hidden="1"/>
    </xf>
    <xf numFmtId="0" fontId="59" fillId="34" borderId="54" xfId="0" applyFont="1" applyFill="1" applyBorder="1" applyAlignment="1" applyProtection="1">
      <alignment horizontal="left" vertical="center" wrapText="1" shrinkToFit="1"/>
      <protection hidden="1"/>
    </xf>
    <xf numFmtId="0" fontId="59" fillId="34" borderId="54" xfId="0" applyFont="1" applyFill="1" applyBorder="1" applyAlignment="1" applyProtection="1">
      <alignment horizontal="left" vertical="center" shrinkToFit="1"/>
      <protection hidden="1"/>
    </xf>
    <xf numFmtId="0" fontId="59" fillId="34" borderId="97" xfId="0" applyFont="1" applyFill="1" applyBorder="1" applyAlignment="1" applyProtection="1">
      <alignment horizontal="left" vertical="center" shrinkToFit="1"/>
      <protection hidden="1"/>
    </xf>
    <xf numFmtId="174" fontId="50" fillId="34" borderId="0" xfId="0" applyNumberFormat="1" applyFont="1" applyFill="1" applyBorder="1" applyAlignment="1" applyProtection="1">
      <alignment vertical="center" shrinkToFit="1"/>
      <protection locked="0"/>
    </xf>
    <xf numFmtId="0" fontId="49" fillId="29" borderId="0" xfId="0" applyFont="1" applyFill="1" applyBorder="1" applyAlignment="1" applyProtection="1">
      <alignment vertical="center" wrapText="1"/>
      <protection hidden="1"/>
    </xf>
    <xf numFmtId="1" fontId="48" fillId="0" borderId="0" xfId="0" applyNumberFormat="1" applyFont="1" applyAlignment="1" applyProtection="1">
      <alignment/>
      <protection hidden="1"/>
    </xf>
    <xf numFmtId="3" fontId="49" fillId="0" borderId="0" xfId="0" applyNumberFormat="1" applyFont="1" applyAlignment="1" applyProtection="1">
      <alignment shrinkToFit="1"/>
      <protection hidden="1"/>
    </xf>
    <xf numFmtId="0" fontId="70" fillId="0" borderId="98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8" fillId="0" borderId="99" xfId="0" applyFont="1" applyBorder="1" applyAlignment="1">
      <alignment/>
    </xf>
    <xf numFmtId="0" fontId="84" fillId="35" borderId="0" xfId="0" applyNumberFormat="1" applyFont="1" applyFill="1" applyAlignment="1" applyProtection="1">
      <alignment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83" fillId="35" borderId="0" xfId="0" applyNumberFormat="1" applyFont="1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85" fillId="35" borderId="0" xfId="0" applyFont="1" applyFill="1" applyAlignment="1" applyProtection="1">
      <alignment/>
      <protection hidden="1"/>
    </xf>
    <xf numFmtId="173" fontId="83" fillId="35" borderId="0" xfId="40" applyNumberFormat="1" applyFont="1" applyFill="1" applyBorder="1" applyAlignment="1" applyProtection="1">
      <alignment/>
      <protection hidden="1"/>
    </xf>
    <xf numFmtId="173" fontId="86" fillId="35" borderId="0" xfId="40" applyNumberFormat="1" applyFont="1" applyFill="1" applyBorder="1" applyAlignment="1" applyProtection="1">
      <alignment/>
      <protection hidden="1"/>
    </xf>
    <xf numFmtId="0" fontId="86" fillId="35" borderId="0" xfId="0" applyFont="1" applyFill="1" applyAlignment="1" applyProtection="1">
      <alignment/>
      <protection hidden="1"/>
    </xf>
    <xf numFmtId="0" fontId="83" fillId="35" borderId="0" xfId="0" applyNumberFormat="1" applyFont="1" applyFill="1" applyAlignment="1" applyProtection="1">
      <alignment/>
      <protection hidden="1"/>
    </xf>
    <xf numFmtId="0" fontId="87" fillId="35" borderId="11" xfId="0" applyNumberFormat="1" applyFont="1" applyFill="1" applyBorder="1" applyAlignment="1" applyProtection="1">
      <alignment horizontal="center"/>
      <protection hidden="1"/>
    </xf>
    <xf numFmtId="0" fontId="87" fillId="35" borderId="0" xfId="0" applyNumberFormat="1" applyFont="1" applyFill="1" applyBorder="1" applyAlignment="1" applyProtection="1">
      <alignment horizontal="center"/>
      <protection hidden="1"/>
    </xf>
    <xf numFmtId="0" fontId="88" fillId="35" borderId="0" xfId="0" applyNumberFormat="1" applyFont="1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169" fontId="85" fillId="35" borderId="0" xfId="0" applyNumberFormat="1" applyFont="1" applyFill="1" applyAlignment="1" applyProtection="1">
      <alignment shrinkToFit="1"/>
      <protection hidden="1"/>
    </xf>
    <xf numFmtId="174" fontId="85" fillId="35" borderId="0" xfId="0" applyNumberFormat="1" applyFont="1" applyFill="1" applyAlignment="1" applyProtection="1">
      <alignment shrinkToFit="1"/>
      <protection hidden="1"/>
    </xf>
    <xf numFmtId="175" fontId="85" fillId="35" borderId="0" xfId="0" applyNumberFormat="1" applyFont="1" applyFill="1" applyAlignment="1" applyProtection="1">
      <alignment shrinkToFit="1"/>
      <protection hidden="1"/>
    </xf>
    <xf numFmtId="176" fontId="85" fillId="35" borderId="0" xfId="0" applyNumberFormat="1" applyFont="1" applyFill="1" applyAlignment="1" applyProtection="1">
      <alignment shrinkToFit="1"/>
      <protection hidden="1"/>
    </xf>
    <xf numFmtId="43" fontId="85" fillId="35" borderId="0" xfId="0" applyNumberFormat="1" applyFont="1" applyFill="1" applyAlignment="1" applyProtection="1">
      <alignment/>
      <protection hidden="1"/>
    </xf>
    <xf numFmtId="0" fontId="83" fillId="35" borderId="0" xfId="0" applyNumberFormat="1" applyFont="1" applyFill="1" applyAlignment="1" applyProtection="1">
      <alignment horizontal="left"/>
      <protection hidden="1"/>
    </xf>
    <xf numFmtId="0" fontId="85" fillId="35" borderId="0" xfId="0" applyFont="1" applyFill="1" applyAlignment="1" applyProtection="1">
      <alignment shrinkToFit="1"/>
      <protection hidden="1"/>
    </xf>
    <xf numFmtId="0" fontId="88" fillId="35" borderId="0" xfId="0" applyNumberFormat="1" applyFont="1" applyFill="1" applyAlignment="1" applyProtection="1">
      <alignment horizontal="left"/>
      <protection hidden="1"/>
    </xf>
    <xf numFmtId="0" fontId="132" fillId="35" borderId="0" xfId="0" applyFont="1" applyFill="1" applyAlignment="1" applyProtection="1">
      <alignment shrinkToFit="1"/>
      <protection hidden="1"/>
    </xf>
    <xf numFmtId="174" fontId="132" fillId="35" borderId="0" xfId="0" applyNumberFormat="1" applyFont="1" applyFill="1" applyAlignment="1" applyProtection="1">
      <alignment shrinkToFit="1"/>
      <protection hidden="1"/>
    </xf>
    <xf numFmtId="175" fontId="132" fillId="35" borderId="0" xfId="0" applyNumberFormat="1" applyFont="1" applyFill="1" applyAlignment="1" applyProtection="1">
      <alignment shrinkToFit="1"/>
      <protection hidden="1"/>
    </xf>
    <xf numFmtId="176" fontId="132" fillId="35" borderId="0" xfId="0" applyNumberFormat="1" applyFont="1" applyFill="1" applyAlignment="1" applyProtection="1">
      <alignment shrinkToFit="1"/>
      <protection hidden="1"/>
    </xf>
    <xf numFmtId="43" fontId="132" fillId="35" borderId="0" xfId="0" applyNumberFormat="1" applyFont="1" applyFill="1" applyAlignment="1" applyProtection="1">
      <alignment/>
      <protection hidden="1"/>
    </xf>
    <xf numFmtId="0" fontId="85" fillId="35" borderId="0" xfId="0" applyNumberFormat="1" applyFont="1" applyFill="1" applyAlignment="1" applyProtection="1">
      <alignment shrinkToFit="1"/>
      <protection hidden="1"/>
    </xf>
    <xf numFmtId="174" fontId="85" fillId="35" borderId="0" xfId="0" applyNumberFormat="1" applyFont="1" applyFill="1" applyAlignment="1" applyProtection="1">
      <alignment shrinkToFit="1"/>
      <protection hidden="1"/>
    </xf>
    <xf numFmtId="0" fontId="85" fillId="35" borderId="0" xfId="0" applyFont="1" applyFill="1" applyAlignment="1" applyProtection="1">
      <alignment/>
      <protection hidden="1"/>
    </xf>
    <xf numFmtId="176" fontId="85" fillId="35" borderId="0" xfId="0" applyNumberFormat="1" applyFont="1" applyFill="1" applyAlignment="1" applyProtection="1">
      <alignment shrinkToFit="1"/>
      <protection hidden="1"/>
    </xf>
    <xf numFmtId="43" fontId="85" fillId="35" borderId="0" xfId="0" applyNumberFormat="1" applyFont="1" applyFill="1" applyAlignment="1" applyProtection="1">
      <alignment/>
      <protection hidden="1"/>
    </xf>
    <xf numFmtId="0" fontId="85" fillId="35" borderId="0" xfId="0" applyNumberFormat="1" applyFont="1" applyFill="1" applyAlignment="1" applyProtection="1">
      <alignment shrinkToFit="1"/>
      <protection hidden="1"/>
    </xf>
    <xf numFmtId="43" fontId="83" fillId="35" borderId="0" xfId="0" applyNumberFormat="1" applyFont="1" applyFill="1" applyAlignment="1" applyProtection="1">
      <alignment/>
      <protection hidden="1"/>
    </xf>
    <xf numFmtId="176" fontId="44" fillId="35" borderId="0" xfId="0" applyNumberFormat="1" applyFont="1" applyFill="1" applyAlignment="1" applyProtection="1">
      <alignment/>
      <protection hidden="1"/>
    </xf>
    <xf numFmtId="0" fontId="87" fillId="35" borderId="58" xfId="0" applyFont="1" applyFill="1" applyBorder="1" applyAlignment="1" applyProtection="1">
      <alignment/>
      <protection hidden="1"/>
    </xf>
    <xf numFmtId="0" fontId="83" fillId="35" borderId="53" xfId="0" applyFont="1" applyFill="1" applyBorder="1" applyAlignment="1" applyProtection="1">
      <alignment/>
      <protection hidden="1"/>
    </xf>
    <xf numFmtId="173" fontId="85" fillId="35" borderId="0" xfId="40" applyNumberFormat="1" applyFont="1" applyFill="1" applyBorder="1" applyAlignment="1" applyProtection="1">
      <alignment/>
      <protection hidden="1"/>
    </xf>
    <xf numFmtId="49" fontId="83" fillId="35" borderId="49" xfId="0" applyNumberFormat="1" applyFont="1" applyFill="1" applyBorder="1" applyAlignment="1" applyProtection="1">
      <alignment vertical="top" shrinkToFit="1"/>
      <protection hidden="1"/>
    </xf>
    <xf numFmtId="174" fontId="87" fillId="35" borderId="64" xfId="0" applyNumberFormat="1" applyFont="1" applyFill="1" applyBorder="1" applyAlignment="1" applyProtection="1">
      <alignment horizontal="right" vertical="center" shrinkToFit="1"/>
      <protection hidden="1"/>
    </xf>
    <xf numFmtId="0" fontId="83" fillId="35" borderId="0" xfId="0" applyFont="1" applyFill="1" applyBorder="1" applyAlignment="1" applyProtection="1">
      <alignment horizontal="left" vertical="center" indent="3"/>
      <protection hidden="1"/>
    </xf>
    <xf numFmtId="174" fontId="87" fillId="35" borderId="65" xfId="0" applyNumberFormat="1" applyFont="1" applyFill="1" applyBorder="1" applyAlignment="1" applyProtection="1">
      <alignment horizontal="right" vertical="center" shrinkToFit="1"/>
      <protection locked="0"/>
    </xf>
    <xf numFmtId="172" fontId="87" fillId="35" borderId="0" xfId="40" applyFont="1" applyFill="1" applyBorder="1" applyAlignment="1" applyProtection="1">
      <alignment horizontal="right" vertical="center" shrinkToFit="1"/>
      <protection hidden="1"/>
    </xf>
    <xf numFmtId="2" fontId="90" fillId="35" borderId="0" xfId="0" applyNumberFormat="1" applyFont="1" applyFill="1" applyBorder="1" applyAlignment="1" applyProtection="1">
      <alignment horizontal="right" vertical="center"/>
      <protection hidden="1"/>
    </xf>
    <xf numFmtId="2" fontId="87" fillId="35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35" borderId="0" xfId="0" applyNumberFormat="1" applyFont="1" applyFill="1" applyAlignment="1">
      <alignment shrinkToFit="1"/>
    </xf>
    <xf numFmtId="2" fontId="91" fillId="35" borderId="0" xfId="0" applyNumberFormat="1" applyFont="1" applyFill="1" applyAlignment="1">
      <alignment/>
    </xf>
    <xf numFmtId="0" fontId="92" fillId="35" borderId="0" xfId="0" applyFont="1" applyFill="1" applyBorder="1" applyAlignment="1" applyProtection="1">
      <alignment horizontal="left" vertical="center" indent="3"/>
      <protection hidden="1"/>
    </xf>
    <xf numFmtId="0" fontId="85" fillId="36" borderId="0" xfId="0" applyFont="1" applyFill="1" applyBorder="1" applyAlignment="1" applyProtection="1">
      <alignment/>
      <protection hidden="1"/>
    </xf>
    <xf numFmtId="0" fontId="86" fillId="36" borderId="0" xfId="0" applyFont="1" applyFill="1" applyBorder="1" applyAlignment="1" applyProtection="1">
      <alignment/>
      <protection hidden="1"/>
    </xf>
    <xf numFmtId="0" fontId="86" fillId="36" borderId="0" xfId="0" applyFont="1" applyFill="1" applyAlignment="1" applyProtection="1">
      <alignment/>
      <protection hidden="1"/>
    </xf>
    <xf numFmtId="0" fontId="91" fillId="36" borderId="0" xfId="0" applyFont="1" applyFill="1" applyBorder="1" applyAlignment="1" applyProtection="1">
      <alignment/>
      <protection hidden="1"/>
    </xf>
    <xf numFmtId="174" fontId="87" fillId="35" borderId="64" xfId="0" applyNumberFormat="1" applyFont="1" applyFill="1" applyBorder="1" applyAlignment="1" applyProtection="1">
      <alignment horizontal="right" vertical="center" shrinkToFit="1"/>
      <protection locked="0"/>
    </xf>
    <xf numFmtId="0" fontId="85" fillId="36" borderId="0" xfId="0" applyFont="1" applyFill="1" applyAlignment="1" applyProtection="1">
      <alignment/>
      <protection hidden="1"/>
    </xf>
    <xf numFmtId="174" fontId="87" fillId="35" borderId="65" xfId="0" applyNumberFormat="1" applyFont="1" applyFill="1" applyBorder="1" applyAlignment="1" applyProtection="1">
      <alignment horizontal="right" vertical="center" shrinkToFit="1"/>
      <protection hidden="1"/>
    </xf>
    <xf numFmtId="49" fontId="88" fillId="35" borderId="49" xfId="0" applyNumberFormat="1" applyFont="1" applyFill="1" applyBorder="1" applyAlignment="1" applyProtection="1">
      <alignment vertical="top" shrinkToFit="1"/>
      <protection hidden="1"/>
    </xf>
    <xf numFmtId="49" fontId="88" fillId="35" borderId="10" xfId="0" applyNumberFormat="1" applyFont="1" applyFill="1" applyBorder="1" applyAlignment="1" applyProtection="1">
      <alignment vertical="top" shrinkToFit="1"/>
      <protection hidden="1"/>
    </xf>
    <xf numFmtId="174" fontId="89" fillId="35" borderId="65" xfId="0" applyNumberFormat="1" applyFont="1" applyFill="1" applyBorder="1" applyAlignment="1" applyProtection="1">
      <alignment horizontal="right" vertical="center" shrinkToFit="1"/>
      <protection hidden="1"/>
    </xf>
    <xf numFmtId="0" fontId="83" fillId="36" borderId="0" xfId="0" applyFont="1" applyFill="1" applyAlignment="1" applyProtection="1">
      <alignment/>
      <protection hidden="1"/>
    </xf>
    <xf numFmtId="173" fontId="83" fillId="36" borderId="0" xfId="40" applyNumberFormat="1" applyFont="1" applyFill="1" applyBorder="1" applyAlignment="1" applyProtection="1">
      <alignment/>
      <protection hidden="1"/>
    </xf>
    <xf numFmtId="174" fontId="89" fillId="35" borderId="65" xfId="0" applyNumberFormat="1" applyFont="1" applyFill="1" applyBorder="1" applyAlignment="1" applyProtection="1">
      <alignment horizontal="right" vertical="center" shrinkToFit="1"/>
      <protection locked="0"/>
    </xf>
    <xf numFmtId="0" fontId="133" fillId="35" borderId="0" xfId="0" applyFont="1" applyFill="1" applyAlignment="1" applyProtection="1">
      <alignment/>
      <protection hidden="1"/>
    </xf>
    <xf numFmtId="0" fontId="134" fillId="35" borderId="0" xfId="0" applyFont="1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3" fontId="87" fillId="35" borderId="11" xfId="0" applyNumberFormat="1" applyFont="1" applyFill="1" applyBorder="1" applyAlignment="1" applyProtection="1">
      <alignment horizontal="center"/>
      <protection locked="0"/>
    </xf>
    <xf numFmtId="0" fontId="44" fillId="35" borderId="0" xfId="0" applyFont="1" applyFill="1" applyAlignment="1" applyProtection="1">
      <alignment horizontal="center"/>
      <protection hidden="1"/>
    </xf>
    <xf numFmtId="0" fontId="83" fillId="35" borderId="0" xfId="0" applyFont="1" applyFill="1" applyAlignment="1" applyProtection="1">
      <alignment shrinkToFit="1"/>
      <protection hidden="1"/>
    </xf>
    <xf numFmtId="174" fontId="83" fillId="35" borderId="0" xfId="0" applyNumberFormat="1" applyFont="1" applyFill="1" applyAlignment="1" applyProtection="1">
      <alignment shrinkToFit="1"/>
      <protection hidden="1"/>
    </xf>
    <xf numFmtId="1" fontId="140" fillId="35" borderId="0" xfId="0" applyNumberFormat="1" applyFont="1" applyFill="1" applyAlignment="1" applyProtection="1">
      <alignment/>
      <protection locked="0"/>
    </xf>
    <xf numFmtId="0" fontId="88" fillId="35" borderId="10" xfId="0" applyFont="1" applyFill="1" applyBorder="1" applyAlignment="1" applyProtection="1">
      <alignment/>
      <protection hidden="1"/>
    </xf>
    <xf numFmtId="0" fontId="0" fillId="35" borderId="10" xfId="0" applyFont="1" applyFill="1" applyBorder="1" applyAlignment="1">
      <alignment/>
    </xf>
    <xf numFmtId="49" fontId="83" fillId="35" borderId="58" xfId="0" applyNumberFormat="1" applyFont="1" applyFill="1" applyBorder="1" applyAlignment="1" applyProtection="1">
      <alignment vertical="top" shrinkToFit="1"/>
      <protection hidden="1"/>
    </xf>
    <xf numFmtId="49" fontId="83" fillId="35" borderId="0" xfId="0" applyNumberFormat="1" applyFont="1" applyFill="1" applyBorder="1" applyAlignment="1" applyProtection="1">
      <alignment vertical="top" shrinkToFit="1"/>
      <protection hidden="1"/>
    </xf>
    <xf numFmtId="49" fontId="83" fillId="35" borderId="10" xfId="0" applyNumberFormat="1" applyFont="1" applyFill="1" applyBorder="1" applyAlignment="1" applyProtection="1">
      <alignment vertical="top" shrinkToFit="1"/>
      <protection hidden="1"/>
    </xf>
    <xf numFmtId="49" fontId="83" fillId="35" borderId="10" xfId="0" applyNumberFormat="1" applyFont="1" applyFill="1" applyBorder="1" applyAlignment="1" applyProtection="1">
      <alignment/>
      <protection hidden="1"/>
    </xf>
    <xf numFmtId="49" fontId="87" fillId="35" borderId="66" xfId="0" applyNumberFormat="1" applyFont="1" applyFill="1" applyBorder="1" applyAlignment="1" applyProtection="1">
      <alignment horizontal="center" vertical="center" shrinkToFit="1"/>
      <protection hidden="1"/>
    </xf>
    <xf numFmtId="174" fontId="87" fillId="35" borderId="73" xfId="0" applyNumberFormat="1" applyFont="1" applyFill="1" applyBorder="1" applyAlignment="1" applyProtection="1">
      <alignment horizontal="right" vertical="center" shrinkToFit="1"/>
      <protection locked="0"/>
    </xf>
    <xf numFmtId="0" fontId="83" fillId="35" borderId="0" xfId="0" applyFont="1" applyFill="1" applyBorder="1" applyAlignment="1" applyProtection="1">
      <alignment horizontal="center" vertical="center"/>
      <protection hidden="1"/>
    </xf>
    <xf numFmtId="49" fontId="44" fillId="35" borderId="0" xfId="0" applyNumberFormat="1" applyFont="1" applyFill="1" applyAlignment="1" applyProtection="1">
      <alignment vertical="top" shrinkToFit="1"/>
      <protection hidden="1"/>
    </xf>
    <xf numFmtId="0" fontId="44" fillId="35" borderId="0" xfId="0" applyFont="1" applyFill="1" applyBorder="1" applyAlignment="1" applyProtection="1">
      <alignment/>
      <protection hidden="1"/>
    </xf>
    <xf numFmtId="173" fontId="44" fillId="35" borderId="0" xfId="40" applyNumberFormat="1" applyFont="1" applyFill="1" applyBorder="1" applyAlignment="1" applyProtection="1">
      <alignment/>
      <protection hidden="1"/>
    </xf>
    <xf numFmtId="0" fontId="75" fillId="35" borderId="11" xfId="0" applyFont="1" applyFill="1" applyBorder="1" applyAlignment="1" applyProtection="1">
      <alignment horizontal="center"/>
      <protection hidden="1"/>
    </xf>
    <xf numFmtId="49" fontId="75" fillId="35" borderId="0" xfId="0" applyNumberFormat="1" applyFont="1" applyFill="1" applyBorder="1" applyAlignment="1" applyProtection="1">
      <alignment horizontal="center" vertical="center"/>
      <protection hidden="1"/>
    </xf>
    <xf numFmtId="0" fontId="44" fillId="35" borderId="0" xfId="0" applyFont="1" applyFill="1" applyAlignment="1">
      <alignment/>
    </xf>
    <xf numFmtId="0" fontId="26" fillId="35" borderId="0" xfId="0" applyFont="1" applyFill="1" applyBorder="1" applyAlignment="1" applyProtection="1">
      <alignment/>
      <protection hidden="1"/>
    </xf>
    <xf numFmtId="0" fontId="75" fillId="35" borderId="0" xfId="0" applyFont="1" applyFill="1" applyBorder="1" applyAlignment="1" applyProtection="1">
      <alignment horizontal="center"/>
      <protection hidden="1"/>
    </xf>
    <xf numFmtId="0" fontId="87" fillId="35" borderId="0" xfId="0" applyFont="1" applyFill="1" applyBorder="1" applyAlignment="1" applyProtection="1">
      <alignment/>
      <protection hidden="1"/>
    </xf>
    <xf numFmtId="164" fontId="84" fillId="35" borderId="11" xfId="0" applyNumberFormat="1" applyFont="1" applyFill="1" applyBorder="1" applyAlignment="1" applyProtection="1">
      <alignment horizontal="center"/>
      <protection locked="0"/>
    </xf>
    <xf numFmtId="0" fontId="83" fillId="35" borderId="0" xfId="0" applyFont="1" applyFill="1" applyAlignment="1">
      <alignment/>
    </xf>
    <xf numFmtId="0" fontId="0" fillId="35" borderId="0" xfId="0" applyFont="1" applyFill="1" applyAlignment="1">
      <alignment shrinkToFit="1"/>
    </xf>
    <xf numFmtId="0" fontId="0" fillId="35" borderId="0" xfId="0" applyFont="1" applyFill="1" applyBorder="1" applyAlignment="1">
      <alignment shrinkToFit="1"/>
    </xf>
    <xf numFmtId="164" fontId="99" fillId="35" borderId="0" xfId="0" applyNumberFormat="1" applyFont="1" applyFill="1" applyBorder="1" applyAlignment="1">
      <alignment horizontal="center"/>
    </xf>
    <xf numFmtId="164" fontId="99" fillId="35" borderId="0" xfId="0" applyNumberFormat="1" applyFont="1" applyFill="1" applyBorder="1" applyAlignment="1" applyProtection="1">
      <alignment horizontal="center"/>
      <protection hidden="1"/>
    </xf>
    <xf numFmtId="164" fontId="93" fillId="35" borderId="0" xfId="0" applyNumberFormat="1" applyFont="1" applyFill="1" applyBorder="1" applyAlignment="1">
      <alignment horizontal="center"/>
    </xf>
    <xf numFmtId="0" fontId="83" fillId="35" borderId="0" xfId="0" applyFont="1" applyFill="1" applyBorder="1" applyAlignment="1" applyProtection="1">
      <alignment shrinkToFit="1"/>
      <protection hidden="1"/>
    </xf>
    <xf numFmtId="0" fontId="83" fillId="35" borderId="0" xfId="0" applyFont="1" applyFill="1" applyBorder="1" applyAlignment="1">
      <alignment/>
    </xf>
    <xf numFmtId="0" fontId="44" fillId="35" borderId="0" xfId="0" applyFont="1" applyFill="1" applyBorder="1" applyAlignment="1" applyProtection="1">
      <alignment/>
      <protection hidden="1"/>
    </xf>
    <xf numFmtId="174" fontId="87" fillId="35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35" borderId="0" xfId="0" applyFill="1" applyBorder="1" applyAlignment="1" applyProtection="1">
      <alignment/>
      <protection hidden="1"/>
    </xf>
    <xf numFmtId="0" fontId="64" fillId="35" borderId="0" xfId="0" applyFont="1" applyFill="1" applyBorder="1" applyAlignment="1" applyProtection="1">
      <alignment horizontal="center"/>
      <protection hidden="1"/>
    </xf>
    <xf numFmtId="49" fontId="64" fillId="35" borderId="0" xfId="0" applyNumberFormat="1" applyFont="1" applyFill="1" applyBorder="1" applyAlignment="1" applyProtection="1">
      <alignment horizontal="center" vertical="center"/>
      <protection hidden="1"/>
    </xf>
    <xf numFmtId="0" fontId="50" fillId="35" borderId="0" xfId="0" applyFont="1" applyFill="1" applyBorder="1" applyAlignment="1" applyProtection="1">
      <alignment/>
      <protection hidden="1"/>
    </xf>
    <xf numFmtId="0" fontId="48" fillId="35" borderId="0" xfId="0" applyFont="1" applyFill="1" applyBorder="1" applyAlignment="1" applyProtection="1">
      <alignment/>
      <protection hidden="1"/>
    </xf>
    <xf numFmtId="0" fontId="64" fillId="35" borderId="11" xfId="0" applyFont="1" applyFill="1" applyBorder="1" applyAlignment="1" applyProtection="1">
      <alignment horizontal="center"/>
      <protection locked="0"/>
    </xf>
    <xf numFmtId="3" fontId="62" fillId="35" borderId="0" xfId="0" applyNumberFormat="1" applyFont="1" applyFill="1" applyBorder="1" applyAlignment="1" applyProtection="1">
      <alignment horizontal="center" vertical="center"/>
      <protection locked="0"/>
    </xf>
    <xf numFmtId="0" fontId="102" fillId="35" borderId="0" xfId="0" applyFont="1" applyFill="1" applyAlignment="1" applyProtection="1">
      <alignment/>
      <protection hidden="1"/>
    </xf>
    <xf numFmtId="173" fontId="102" fillId="35" borderId="0" xfId="40" applyNumberFormat="1" applyFont="1" applyFill="1" applyBorder="1" applyAlignment="1" applyProtection="1">
      <alignment/>
      <protection hidden="1"/>
    </xf>
    <xf numFmtId="0" fontId="59" fillId="35" borderId="0" xfId="0" applyFont="1" applyFill="1" applyBorder="1" applyAlignment="1" applyProtection="1">
      <alignment/>
      <protection hidden="1"/>
    </xf>
    <xf numFmtId="0" fontId="49" fillId="35" borderId="0" xfId="0" applyFont="1" applyFill="1" applyBorder="1" applyAlignment="1" applyProtection="1">
      <alignment/>
      <protection hidden="1"/>
    </xf>
    <xf numFmtId="0" fontId="81" fillId="35" borderId="0" xfId="0" applyFont="1" applyFill="1" applyBorder="1" applyAlignment="1" applyProtection="1">
      <alignment/>
      <protection hidden="1"/>
    </xf>
    <xf numFmtId="0" fontId="81" fillId="35" borderId="46" xfId="0" applyFont="1" applyFill="1" applyBorder="1" applyAlignment="1" applyProtection="1">
      <alignment/>
      <protection hidden="1"/>
    </xf>
    <xf numFmtId="0" fontId="81" fillId="35" borderId="0" xfId="0" applyFont="1" applyFill="1" applyAlignment="1" applyProtection="1">
      <alignment/>
      <protection hidden="1"/>
    </xf>
    <xf numFmtId="0" fontId="49" fillId="35" borderId="0" xfId="0" applyFont="1" applyFill="1" applyAlignment="1" applyProtection="1">
      <alignment/>
      <protection hidden="1"/>
    </xf>
    <xf numFmtId="0" fontId="50" fillId="35" borderId="56" xfId="0" applyFont="1" applyFill="1" applyBorder="1" applyAlignment="1" applyProtection="1">
      <alignment horizontal="center" shrinkToFit="1"/>
      <protection locked="0"/>
    </xf>
    <xf numFmtId="0" fontId="50" fillId="35" borderId="0" xfId="0" applyFont="1" applyFill="1" applyBorder="1" applyAlignment="1" applyProtection="1">
      <alignment horizontal="center" shrinkToFit="1"/>
      <protection hidden="1"/>
    </xf>
    <xf numFmtId="0" fontId="49" fillId="35" borderId="0" xfId="0" applyFont="1" applyFill="1" applyBorder="1" applyAlignment="1" applyProtection="1">
      <alignment horizontal="center"/>
      <protection hidden="1"/>
    </xf>
    <xf numFmtId="0" fontId="100" fillId="35" borderId="0" xfId="0" applyFont="1" applyFill="1" applyBorder="1" applyAlignment="1" applyProtection="1">
      <alignment horizontal="right"/>
      <protection hidden="1"/>
    </xf>
    <xf numFmtId="0" fontId="101" fillId="35" borderId="0" xfId="0" applyFont="1" applyFill="1" applyBorder="1" applyAlignment="1" applyProtection="1">
      <alignment/>
      <protection hidden="1"/>
    </xf>
    <xf numFmtId="0" fontId="100" fillId="35" borderId="0" xfId="0" applyFont="1" applyFill="1" applyBorder="1" applyAlignment="1" applyProtection="1">
      <alignment/>
      <protection hidden="1"/>
    </xf>
    <xf numFmtId="0" fontId="102" fillId="35" borderId="0" xfId="0" applyFont="1" applyFill="1" applyBorder="1" applyAlignment="1" applyProtection="1">
      <alignment/>
      <protection hidden="1"/>
    </xf>
    <xf numFmtId="0" fontId="103" fillId="35" borderId="0" xfId="0" applyFont="1" applyFill="1" applyBorder="1" applyAlignment="1" applyProtection="1">
      <alignment/>
      <protection hidden="1"/>
    </xf>
    <xf numFmtId="0" fontId="49" fillId="35" borderId="0" xfId="0" applyFont="1" applyFill="1" applyBorder="1" applyAlignment="1" applyProtection="1">
      <alignment shrinkToFit="1"/>
      <protection hidden="1"/>
    </xf>
    <xf numFmtId="0" fontId="49" fillId="35" borderId="46" xfId="0" applyFont="1" applyFill="1" applyBorder="1" applyAlignment="1" applyProtection="1">
      <alignment/>
      <protection hidden="1"/>
    </xf>
    <xf numFmtId="0" fontId="98" fillId="35" borderId="0" xfId="0" applyFont="1" applyFill="1" applyBorder="1" applyAlignment="1" applyProtection="1">
      <alignment vertical="top"/>
      <protection hidden="1"/>
    </xf>
    <xf numFmtId="0" fontId="88" fillId="35" borderId="0" xfId="0" applyFont="1" applyFill="1" applyBorder="1" applyAlignment="1" applyProtection="1">
      <alignment/>
      <protection hidden="1"/>
    </xf>
    <xf numFmtId="0" fontId="49" fillId="35" borderId="0" xfId="0" applyFont="1" applyFill="1" applyBorder="1" applyAlignment="1" applyProtection="1">
      <alignment/>
      <protection locked="0"/>
    </xf>
    <xf numFmtId="0" fontId="49" fillId="37" borderId="11" xfId="0" applyFont="1" applyFill="1" applyBorder="1" applyAlignment="1" applyProtection="1">
      <alignment/>
      <protection locked="0"/>
    </xf>
    <xf numFmtId="0" fontId="105" fillId="35" borderId="0" xfId="0" applyFont="1" applyFill="1" applyBorder="1" applyAlignment="1" applyProtection="1">
      <alignment/>
      <protection hidden="1"/>
    </xf>
    <xf numFmtId="0" fontId="50" fillId="37" borderId="11" xfId="0" applyFont="1" applyFill="1" applyBorder="1" applyAlignment="1" applyProtection="1">
      <alignment horizontal="center" shrinkToFit="1"/>
      <protection locked="0"/>
    </xf>
    <xf numFmtId="0" fontId="84" fillId="35" borderId="0" xfId="0" applyFont="1" applyFill="1" applyBorder="1" applyAlignment="1" applyProtection="1">
      <alignment/>
      <protection hidden="1"/>
    </xf>
    <xf numFmtId="0" fontId="106" fillId="35" borderId="0" xfId="0" applyFont="1" applyFill="1" applyBorder="1" applyAlignment="1" applyProtection="1">
      <alignment/>
      <protection hidden="1"/>
    </xf>
    <xf numFmtId="0" fontId="61" fillId="37" borderId="0" xfId="0" applyFont="1" applyFill="1" applyAlignment="1" applyProtection="1">
      <alignment/>
      <protection hidden="1"/>
    </xf>
    <xf numFmtId="1" fontId="50" fillId="17" borderId="89" xfId="0" applyNumberFormat="1" applyFont="1" applyFill="1" applyBorder="1" applyAlignment="1" applyProtection="1">
      <alignment shrinkToFit="1"/>
      <protection hidden="1"/>
    </xf>
    <xf numFmtId="49" fontId="50" fillId="17" borderId="90" xfId="0" applyNumberFormat="1" applyFont="1" applyFill="1" applyBorder="1" applyAlignment="1" applyProtection="1">
      <alignment horizontal="left"/>
      <protection hidden="1"/>
    </xf>
    <xf numFmtId="49" fontId="49" fillId="17" borderId="90" xfId="0" applyNumberFormat="1" applyFont="1" applyFill="1" applyBorder="1" applyAlignment="1" applyProtection="1">
      <alignment horizontal="left"/>
      <protection hidden="1"/>
    </xf>
    <xf numFmtId="3" fontId="109" fillId="0" borderId="90" xfId="0" applyNumberFormat="1" applyFont="1" applyFill="1" applyBorder="1" applyAlignment="1" applyProtection="1">
      <alignment horizontal="center" shrinkToFit="1"/>
      <protection hidden="1"/>
    </xf>
    <xf numFmtId="49" fontId="49" fillId="17" borderId="99" xfId="0" applyNumberFormat="1" applyFont="1" applyFill="1" applyBorder="1" applyAlignment="1" applyProtection="1">
      <alignment horizontal="left"/>
      <protection hidden="1"/>
    </xf>
    <xf numFmtId="174" fontId="50" fillId="31" borderId="60" xfId="0" applyNumberFormat="1" applyFont="1" applyFill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145" fillId="0" borderId="0" xfId="43" applyFont="1" applyAlignment="1" applyProtection="1">
      <alignment/>
      <protection hidden="1"/>
    </xf>
    <xf numFmtId="0" fontId="166" fillId="0" borderId="11" xfId="0" applyFont="1" applyFill="1" applyBorder="1" applyAlignment="1" applyProtection="1">
      <alignment horizontal="center"/>
      <protection hidden="1"/>
    </xf>
    <xf numFmtId="164" fontId="84" fillId="0" borderId="11" xfId="0" applyNumberFormat="1" applyFont="1" applyBorder="1" applyAlignment="1" applyProtection="1">
      <alignment horizontal="center"/>
      <protection hidden="1"/>
    </xf>
    <xf numFmtId="0" fontId="168" fillId="0" borderId="0" xfId="0" applyFont="1" applyAlignment="1" applyProtection="1">
      <alignment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  <xf numFmtId="0" fontId="169" fillId="0" borderId="0" xfId="0" applyFont="1" applyFill="1" applyBorder="1" applyAlignment="1" applyProtection="1">
      <alignment horizontal="center"/>
      <protection hidden="1"/>
    </xf>
    <xf numFmtId="174" fontId="50" fillId="34" borderId="0" xfId="0" applyNumberFormat="1" applyFont="1" applyFill="1" applyBorder="1" applyAlignment="1" applyProtection="1">
      <alignment vertical="center" shrinkToFit="1"/>
      <protection hidden="1"/>
    </xf>
    <xf numFmtId="181" fontId="163" fillId="0" borderId="0" xfId="0" applyNumberFormat="1" applyFont="1" applyAlignment="1" applyProtection="1">
      <alignment shrinkToFit="1"/>
      <protection hidden="1"/>
    </xf>
    <xf numFmtId="0" fontId="163" fillId="0" borderId="0" xfId="0" applyFont="1" applyAlignment="1" applyProtection="1">
      <alignment shrinkToFit="1"/>
      <protection hidden="1"/>
    </xf>
    <xf numFmtId="0" fontId="50" fillId="0" borderId="98" xfId="0" applyFont="1" applyBorder="1" applyAlignment="1" applyProtection="1">
      <alignment horizontal="center"/>
      <protection locked="0"/>
    </xf>
    <xf numFmtId="0" fontId="17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174" fontId="50" fillId="34" borderId="100" xfId="0" applyNumberFormat="1" applyFont="1" applyFill="1" applyBorder="1" applyAlignment="1" applyProtection="1">
      <alignment vertical="center" shrinkToFit="1"/>
      <protection hidden="1"/>
    </xf>
    <xf numFmtId="174" fontId="49" fillId="0" borderId="0" xfId="0" applyNumberFormat="1" applyFont="1" applyAlignment="1" applyProtection="1">
      <alignment shrinkToFit="1"/>
      <protection hidden="1"/>
    </xf>
    <xf numFmtId="0" fontId="49" fillId="0" borderId="0" xfId="0" applyFont="1" applyAlignment="1" applyProtection="1">
      <alignment shrinkToFit="1"/>
      <protection hidden="1"/>
    </xf>
    <xf numFmtId="0" fontId="49" fillId="29" borderId="0" xfId="0" applyFont="1" applyFill="1" applyAlignment="1" applyProtection="1">
      <alignment shrinkToFit="1"/>
      <protection hidden="1"/>
    </xf>
    <xf numFmtId="175" fontId="49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49" fillId="29" borderId="0" xfId="0" applyFont="1" applyFill="1" applyBorder="1" applyAlignment="1" applyProtection="1">
      <alignment shrinkToFit="1"/>
      <protection hidden="1"/>
    </xf>
    <xf numFmtId="0" fontId="49" fillId="0" borderId="0" xfId="0" applyFont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01" xfId="0" applyBorder="1" applyAlignment="1">
      <alignment shrinkToFit="1"/>
    </xf>
    <xf numFmtId="174" fontId="69" fillId="0" borderId="0" xfId="0" applyNumberFormat="1" applyFont="1" applyAlignment="1" applyProtection="1">
      <alignment shrinkToFit="1"/>
      <protection hidden="1"/>
    </xf>
    <xf numFmtId="3" fontId="69" fillId="0" borderId="98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2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171" fillId="0" borderId="0" xfId="0" applyFont="1" applyFill="1" applyAlignment="1" applyProtection="1">
      <alignment/>
      <protection hidden="1"/>
    </xf>
    <xf numFmtId="0" fontId="171" fillId="0" borderId="0" xfId="0" applyFont="1" applyAlignment="1" applyProtection="1">
      <alignment/>
      <protection hidden="1"/>
    </xf>
    <xf numFmtId="0" fontId="171" fillId="22" borderId="0" xfId="0" applyFont="1" applyFill="1" applyBorder="1" applyAlignment="1" applyProtection="1">
      <alignment/>
      <protection hidden="1"/>
    </xf>
    <xf numFmtId="0" fontId="172" fillId="22" borderId="0" xfId="0" applyFont="1" applyFill="1" applyBorder="1" applyAlignment="1" applyProtection="1">
      <alignment/>
      <protection hidden="1"/>
    </xf>
    <xf numFmtId="0" fontId="171" fillId="2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173" fillId="0" borderId="0" xfId="0" applyFont="1" applyAlignment="1" applyProtection="1">
      <alignment/>
      <protection locked="0"/>
    </xf>
    <xf numFmtId="174" fontId="87" fillId="0" borderId="66" xfId="0" applyNumberFormat="1" applyFont="1" applyBorder="1" applyAlignment="1" applyProtection="1">
      <alignment horizontal="right" vertical="center" shrinkToFit="1"/>
      <protection locked="0"/>
    </xf>
    <xf numFmtId="3" fontId="69" fillId="0" borderId="98" xfId="0" applyNumberFormat="1" applyFont="1" applyBorder="1" applyAlignment="1" applyProtection="1">
      <alignment shrinkToFit="1"/>
      <protection locked="0"/>
    </xf>
    <xf numFmtId="3" fontId="49" fillId="0" borderId="0" xfId="0" applyNumberFormat="1" applyFont="1" applyBorder="1" applyAlignment="1" applyProtection="1">
      <alignment/>
      <protection locked="0"/>
    </xf>
    <xf numFmtId="0" fontId="174" fillId="0" borderId="0" xfId="0" applyFont="1" applyAlignment="1" applyProtection="1">
      <alignment/>
      <protection hidden="1"/>
    </xf>
    <xf numFmtId="3" fontId="175" fillId="0" borderId="98" xfId="0" applyNumberFormat="1" applyFont="1" applyBorder="1" applyAlignment="1" applyProtection="1">
      <alignment shrinkToFit="1"/>
      <protection locked="0"/>
    </xf>
    <xf numFmtId="0" fontId="60" fillId="0" borderId="0" xfId="0" applyFont="1" applyFill="1" applyAlignment="1" applyProtection="1">
      <alignment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135" fillId="35" borderId="102" xfId="0" applyFont="1" applyFill="1" applyBorder="1" applyAlignment="1" applyProtection="1">
      <alignment horizontal="center"/>
      <protection hidden="1"/>
    </xf>
    <xf numFmtId="0" fontId="56" fillId="17" borderId="36" xfId="0" applyFont="1" applyFill="1" applyBorder="1" applyAlignment="1" applyProtection="1">
      <alignment horizont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9" fillId="0" borderId="0" xfId="0" applyFont="1" applyBorder="1" applyAlignment="1" applyProtection="1">
      <alignment horizontal="left"/>
      <protection hidden="1"/>
    </xf>
    <xf numFmtId="171" fontId="62" fillId="0" borderId="0" xfId="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 horizontal="center" shrinkToFit="1"/>
      <protection hidden="1"/>
    </xf>
    <xf numFmtId="49" fontId="64" fillId="31" borderId="0" xfId="0" applyNumberFormat="1" applyFont="1" applyFill="1" applyBorder="1" applyAlignment="1" applyProtection="1">
      <alignment horizontal="left" vertical="center" shrinkToFit="1"/>
      <protection locked="0"/>
    </xf>
    <xf numFmtId="0" fontId="64" fillId="31" borderId="0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0" xfId="0" applyFont="1" applyFill="1" applyBorder="1" applyAlignment="1" applyProtection="1">
      <alignment horizontal="center" shrinkToFit="1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64" fillId="17" borderId="0" xfId="0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 horizontal="left"/>
      <protection hidden="1"/>
    </xf>
    <xf numFmtId="0" fontId="24" fillId="35" borderId="103" xfId="43" applyFont="1" applyFill="1" applyBorder="1" applyAlignment="1" applyProtection="1">
      <alignment horizontal="center"/>
      <protection hidden="1"/>
    </xf>
    <xf numFmtId="0" fontId="135" fillId="35" borderId="104" xfId="0" applyFont="1" applyFill="1" applyBorder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left" shrinkToFit="1"/>
      <protection locked="0"/>
    </xf>
    <xf numFmtId="49" fontId="64" fillId="31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/>
      <protection hidden="1"/>
    </xf>
    <xf numFmtId="49" fontId="50" fillId="17" borderId="0" xfId="0" applyNumberFormat="1" applyFont="1" applyFill="1" applyBorder="1" applyAlignment="1" applyProtection="1">
      <alignment horizontal="left" vertical="center" shrinkToFit="1"/>
      <protection hidden="1"/>
    </xf>
    <xf numFmtId="49" fontId="64" fillId="31" borderId="0" xfId="0" applyNumberFormat="1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48" fillId="0" borderId="0" xfId="0" applyFont="1" applyFill="1" applyBorder="1" applyAlignment="1" applyProtection="1">
      <alignment horizontal="left" shrinkToFit="1"/>
      <protection hidden="1"/>
    </xf>
    <xf numFmtId="0" fontId="76" fillId="0" borderId="0" xfId="0" applyFont="1" applyFill="1" applyBorder="1" applyAlignment="1" applyProtection="1">
      <alignment horizontal="left" shrinkToFit="1"/>
      <protection hidden="1"/>
    </xf>
    <xf numFmtId="0" fontId="78" fillId="31" borderId="0" xfId="0" applyNumberFormat="1" applyFont="1" applyFill="1" applyBorder="1" applyAlignment="1" applyProtection="1">
      <alignment horizontal="center" shrinkToFit="1"/>
      <protection locked="0"/>
    </xf>
    <xf numFmtId="0" fontId="66" fillId="0" borderId="0" xfId="0" applyFont="1" applyFill="1" applyBorder="1" applyAlignment="1" applyProtection="1">
      <alignment horizontal="left"/>
      <protection hidden="1"/>
    </xf>
    <xf numFmtId="49" fontId="73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50" fillId="31" borderId="0" xfId="0" applyFont="1" applyFill="1" applyBorder="1" applyAlignment="1" applyProtection="1">
      <alignment horizontal="left" shrinkToFit="1"/>
      <protection locked="0"/>
    </xf>
    <xf numFmtId="0" fontId="69" fillId="0" borderId="0" xfId="0" applyFont="1" applyBorder="1" applyAlignment="1" applyProtection="1">
      <alignment horizontal="left" shrinkToFit="1"/>
      <protection hidden="1"/>
    </xf>
    <xf numFmtId="0" fontId="48" fillId="0" borderId="0" xfId="0" applyFont="1" applyFill="1" applyBorder="1" applyAlignment="1" applyProtection="1">
      <alignment horizontal="left"/>
      <protection hidden="1"/>
    </xf>
    <xf numFmtId="166" fontId="64" fillId="31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0" fillId="0" borderId="46" xfId="0" applyBorder="1" applyAlignment="1">
      <alignment shrinkToFit="1"/>
    </xf>
    <xf numFmtId="0" fontId="48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54" fillId="17" borderId="61" xfId="0" applyFont="1" applyFill="1" applyBorder="1" applyAlignment="1" applyProtection="1">
      <alignment horizontal="left" shrinkToFit="1"/>
      <protection hidden="1"/>
    </xf>
    <xf numFmtId="0" fontId="54" fillId="17" borderId="0" xfId="0" applyFont="1" applyFill="1" applyBorder="1" applyAlignment="1" applyProtection="1">
      <alignment horizontal="left" shrinkToFit="1"/>
      <protection hidden="1"/>
    </xf>
    <xf numFmtId="0" fontId="24" fillId="17" borderId="0" xfId="43" applyNumberFormat="1" applyFont="1" applyFill="1" applyBorder="1" applyAlignment="1" applyProtection="1">
      <alignment horizontal="center" shrinkToFit="1"/>
      <protection locked="0"/>
    </xf>
    <xf numFmtId="0" fontId="79" fillId="17" borderId="0" xfId="43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hidden="1"/>
    </xf>
    <xf numFmtId="171" fontId="75" fillId="0" borderId="0" xfId="0" applyNumberFormat="1" applyFont="1" applyFill="1" applyBorder="1" applyAlignment="1" applyProtection="1">
      <alignment horizontal="center" shrinkToFit="1"/>
      <protection locked="0"/>
    </xf>
    <xf numFmtId="0" fontId="64" fillId="31" borderId="0" xfId="0" applyNumberFormat="1" applyFont="1" applyFill="1" applyBorder="1" applyAlignment="1" applyProtection="1">
      <alignment horizontal="left" shrinkToFit="1"/>
      <protection locked="0"/>
    </xf>
    <xf numFmtId="0" fontId="52" fillId="17" borderId="16" xfId="0" applyFont="1" applyFill="1" applyBorder="1" applyAlignment="1" applyProtection="1">
      <alignment horizontal="center" shrinkToFit="1"/>
      <protection hidden="1"/>
    </xf>
    <xf numFmtId="0" fontId="48" fillId="0" borderId="0" xfId="0" applyFont="1" applyBorder="1" applyAlignment="1" applyProtection="1">
      <alignment shrinkToFit="1"/>
      <protection hidden="1"/>
    </xf>
    <xf numFmtId="0" fontId="56" fillId="17" borderId="47" xfId="0" applyFont="1" applyFill="1" applyBorder="1" applyAlignment="1" applyProtection="1">
      <alignment horizontal="center"/>
      <protection hidden="1"/>
    </xf>
    <xf numFmtId="0" fontId="22" fillId="4" borderId="105" xfId="0" applyFont="1" applyFill="1" applyBorder="1" applyAlignment="1" applyProtection="1">
      <alignment horizontal="left" vertical="center" wrapText="1"/>
      <protection hidden="1"/>
    </xf>
    <xf numFmtId="0" fontId="0" fillId="23" borderId="67" xfId="0" applyFont="1" applyFill="1" applyBorder="1" applyAlignment="1" applyProtection="1">
      <alignment horizontal="left" wrapText="1"/>
      <protection hidden="1"/>
    </xf>
    <xf numFmtId="49" fontId="50" fillId="0" borderId="47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0" fillId="17" borderId="56" xfId="0" applyNumberFormat="1" applyFont="1" applyFill="1" applyBorder="1" applyAlignment="1" applyProtection="1">
      <alignment shrinkToFit="1"/>
      <protection locked="0"/>
    </xf>
    <xf numFmtId="49" fontId="50" fillId="17" borderId="56" xfId="0" applyNumberFormat="1" applyFont="1" applyFill="1" applyBorder="1" applyAlignment="1" applyProtection="1">
      <alignment horizontal="center" shrinkToFit="1"/>
      <protection locked="0"/>
    </xf>
    <xf numFmtId="0" fontId="65" fillId="0" borderId="0" xfId="0" applyFont="1" applyBorder="1" applyAlignment="1" applyProtection="1">
      <alignment horizontal="left" shrinkToFit="1"/>
      <protection hidden="1"/>
    </xf>
    <xf numFmtId="0" fontId="159" fillId="17" borderId="58" xfId="0" applyFont="1" applyFill="1" applyBorder="1" applyAlignment="1" applyProtection="1">
      <alignment horizontal="center" vertical="center" shrinkToFit="1"/>
      <protection hidden="1"/>
    </xf>
    <xf numFmtId="0" fontId="159" fillId="17" borderId="53" xfId="0" applyFont="1" applyFill="1" applyBorder="1" applyAlignment="1" applyProtection="1">
      <alignment horizontal="center" vertical="center" shrinkToFit="1"/>
      <protection hidden="1"/>
    </xf>
    <xf numFmtId="0" fontId="159" fillId="17" borderId="39" xfId="0" applyFont="1" applyFill="1" applyBorder="1" applyAlignment="1" applyProtection="1">
      <alignment horizontal="center" vertical="center" shrinkToFit="1"/>
      <protection hidden="1"/>
    </xf>
    <xf numFmtId="3" fontId="160" fillId="0" borderId="0" xfId="0" applyNumberFormat="1" applyFont="1" applyFill="1" applyBorder="1" applyAlignment="1" applyProtection="1">
      <alignment horizontal="center" shrinkToFit="1"/>
      <protection hidden="1"/>
    </xf>
    <xf numFmtId="0" fontId="22" fillId="4" borderId="106" xfId="0" applyFont="1" applyFill="1" applyBorder="1" applyAlignment="1" applyProtection="1">
      <alignment horizontal="left" vertical="center" wrapText="1"/>
      <protection hidden="1"/>
    </xf>
    <xf numFmtId="0" fontId="22" fillId="4" borderId="107" xfId="0" applyFont="1" applyFill="1" applyBorder="1" applyAlignment="1" applyProtection="1">
      <alignment horizontal="left" vertical="center" wrapText="1"/>
      <protection hidden="1"/>
    </xf>
    <xf numFmtId="0" fontId="19" fillId="38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24" fillId="31" borderId="0" xfId="43" applyNumberFormat="1" applyFont="1" applyFill="1" applyBorder="1" applyAlignment="1" applyProtection="1">
      <alignment horizontal="left" vertical="center"/>
      <protection locked="0"/>
    </xf>
    <xf numFmtId="0" fontId="0" fillId="31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2" fillId="4" borderId="15" xfId="0" applyFont="1" applyFill="1" applyBorder="1" applyAlignment="1" applyProtection="1">
      <alignment horizontal="left" vertical="center" wrapText="1"/>
      <protection hidden="1"/>
    </xf>
    <xf numFmtId="0" fontId="22" fillId="4" borderId="43" xfId="0" applyFont="1" applyFill="1" applyBorder="1" applyAlignment="1" applyProtection="1">
      <alignment horizontal="left" vertical="center" wrapText="1"/>
      <protection hidden="1"/>
    </xf>
    <xf numFmtId="0" fontId="22" fillId="4" borderId="108" xfId="0" applyFont="1" applyFill="1" applyBorder="1" applyAlignment="1" applyProtection="1">
      <alignment horizontal="left" shrinkToFit="1"/>
      <protection hidden="1"/>
    </xf>
    <xf numFmtId="0" fontId="22" fillId="4" borderId="26" xfId="0" applyFont="1" applyFill="1" applyBorder="1" applyAlignment="1" applyProtection="1">
      <alignment horizontal="left" wrapText="1"/>
      <protection hidden="1"/>
    </xf>
    <xf numFmtId="0" fontId="22" fillId="4" borderId="108" xfId="0" applyFont="1" applyFill="1" applyBorder="1" applyAlignment="1" applyProtection="1">
      <alignment horizontal="left" wrapText="1"/>
      <protection hidden="1"/>
    </xf>
    <xf numFmtId="0" fontId="22" fillId="4" borderId="14" xfId="0" applyFont="1" applyFill="1" applyBorder="1" applyAlignment="1" applyProtection="1">
      <alignment horizontal="left" vertical="center" wrapText="1"/>
      <protection hidden="1"/>
    </xf>
    <xf numFmtId="0" fontId="22" fillId="4" borderId="29" xfId="0" applyFont="1" applyFill="1" applyBorder="1" applyAlignment="1" applyProtection="1">
      <alignment horizontal="left" vertical="center" wrapText="1"/>
      <protection hidden="1"/>
    </xf>
    <xf numFmtId="0" fontId="22" fillId="4" borderId="60" xfId="0" applyFont="1" applyFill="1" applyBorder="1" applyAlignment="1" applyProtection="1">
      <alignment horizontal="left" vertical="center" wrapText="1"/>
      <protection hidden="1"/>
    </xf>
    <xf numFmtId="0" fontId="22" fillId="23" borderId="0" xfId="0" applyFont="1" applyFill="1" applyBorder="1" applyAlignment="1" applyProtection="1">
      <alignment horizontal="left" vertical="center" wrapText="1"/>
      <protection hidden="1"/>
    </xf>
    <xf numFmtId="0" fontId="22" fillId="32" borderId="0" xfId="0" applyFont="1" applyFill="1" applyBorder="1" applyAlignment="1" applyProtection="1">
      <alignment horizontal="left" vertical="center" wrapText="1"/>
      <protection hidden="1"/>
    </xf>
    <xf numFmtId="0" fontId="22" fillId="4" borderId="60" xfId="0" applyFont="1" applyFill="1" applyBorder="1" applyAlignment="1" applyProtection="1">
      <alignment horizontal="left" shrinkToFit="1"/>
      <protection hidden="1"/>
    </xf>
    <xf numFmtId="0" fontId="22" fillId="4" borderId="109" xfId="0" applyFont="1" applyFill="1" applyBorder="1" applyAlignment="1" applyProtection="1">
      <alignment horizontal="left" shrinkToFit="1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0" fontId="49" fillId="0" borderId="56" xfId="0" applyFont="1" applyBorder="1" applyAlignment="1" applyProtection="1">
      <alignment/>
      <protection hidden="1"/>
    </xf>
    <xf numFmtId="49" fontId="88" fillId="17" borderId="38" xfId="0" applyNumberFormat="1" applyFont="1" applyFill="1" applyBorder="1" applyAlignment="1" applyProtection="1">
      <alignment/>
      <protection locked="0"/>
    </xf>
    <xf numFmtId="49" fontId="88" fillId="17" borderId="10" xfId="0" applyNumberFormat="1" applyFont="1" applyFill="1" applyBorder="1" applyAlignment="1" applyProtection="1">
      <alignment/>
      <protection locked="0"/>
    </xf>
    <xf numFmtId="0" fontId="88" fillId="0" borderId="38" xfId="0" applyFont="1" applyBorder="1" applyAlignment="1" applyProtection="1">
      <alignment wrapText="1" shrinkToFit="1"/>
      <protection hidden="1"/>
    </xf>
    <xf numFmtId="0" fontId="88" fillId="0" borderId="10" xfId="0" applyFont="1" applyBorder="1" applyAlignment="1" applyProtection="1">
      <alignment wrapText="1" shrinkToFit="1"/>
      <protection hidden="1"/>
    </xf>
    <xf numFmtId="0" fontId="83" fillId="0" borderId="4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89" fillId="0" borderId="38" xfId="0" applyFont="1" applyBorder="1" applyAlignment="1" applyProtection="1">
      <alignment shrinkToFit="1"/>
      <protection hidden="1"/>
    </xf>
    <xf numFmtId="0" fontId="89" fillId="0" borderId="10" xfId="0" applyFont="1" applyBorder="1" applyAlignment="1" applyProtection="1">
      <alignment shrinkToFit="1"/>
      <protection hidden="1"/>
    </xf>
    <xf numFmtId="0" fontId="64" fillId="0" borderId="56" xfId="0" applyNumberFormat="1" applyFont="1" applyFill="1" applyBorder="1" applyAlignment="1" applyProtection="1">
      <alignment shrinkToFit="1"/>
      <protection locked="0"/>
    </xf>
    <xf numFmtId="49" fontId="44" fillId="0" borderId="0" xfId="0" applyNumberFormat="1" applyFont="1" applyBorder="1" applyAlignment="1" applyProtection="1">
      <alignment/>
      <protection hidden="1"/>
    </xf>
    <xf numFmtId="0" fontId="138" fillId="0" borderId="0" xfId="0" applyFont="1" applyFill="1" applyAlignment="1" applyProtection="1">
      <alignment vertical="center" wrapText="1"/>
      <protection hidden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164" fontId="99" fillId="0" borderId="55" xfId="0" applyNumberFormat="1" applyFont="1" applyBorder="1" applyAlignment="1" applyProtection="1">
      <alignment horizontal="center"/>
      <protection locked="0"/>
    </xf>
    <xf numFmtId="0" fontId="93" fillId="0" borderId="0" xfId="0" applyFont="1" applyBorder="1" applyAlignment="1" applyProtection="1">
      <alignment shrinkToFit="1"/>
      <protection hidden="1"/>
    </xf>
    <xf numFmtId="0" fontId="165" fillId="0" borderId="38" xfId="0" applyFont="1" applyBorder="1" applyAlignment="1" applyProtection="1">
      <alignment horizontal="right" shrinkToFit="1"/>
      <protection locked="0"/>
    </xf>
    <xf numFmtId="0" fontId="165" fillId="0" borderId="10" xfId="0" applyFont="1" applyBorder="1" applyAlignment="1" applyProtection="1">
      <alignment horizontal="right" shrinkToFit="1"/>
      <protection locked="0"/>
    </xf>
    <xf numFmtId="0" fontId="88" fillId="0" borderId="38" xfId="0" applyFont="1" applyBorder="1" applyAlignment="1" applyProtection="1">
      <alignment shrinkToFit="1"/>
      <protection hidden="1"/>
    </xf>
    <xf numFmtId="0" fontId="88" fillId="0" borderId="10" xfId="0" applyFont="1" applyBorder="1" applyAlignment="1" applyProtection="1">
      <alignment shrinkToFit="1"/>
      <protection hidden="1"/>
    </xf>
    <xf numFmtId="10" fontId="87" fillId="0" borderId="38" xfId="0" applyNumberFormat="1" applyFont="1" applyFill="1" applyBorder="1" applyAlignment="1" applyProtection="1">
      <alignment horizontal="center"/>
      <protection hidden="1"/>
    </xf>
    <xf numFmtId="10" fontId="87" fillId="0" borderId="10" xfId="0" applyNumberFormat="1" applyFont="1" applyFill="1" applyBorder="1" applyAlignment="1" applyProtection="1">
      <alignment horizontal="center"/>
      <protection hidden="1"/>
    </xf>
    <xf numFmtId="178" fontId="140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121" fillId="0" borderId="46" xfId="0" applyFont="1" applyBorder="1" applyAlignment="1" applyProtection="1">
      <alignment shrinkToFit="1"/>
      <protection hidden="1"/>
    </xf>
    <xf numFmtId="0" fontId="121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/>
      <protection hidden="1"/>
    </xf>
    <xf numFmtId="0" fontId="104" fillId="0" borderId="0" xfId="0" applyFont="1" applyBorder="1" applyAlignment="1">
      <alignment wrapText="1"/>
    </xf>
    <xf numFmtId="0" fontId="49" fillId="0" borderId="0" xfId="0" applyFont="1" applyBorder="1" applyAlignment="1" applyProtection="1">
      <alignment shrinkToFit="1"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83" fillId="0" borderId="46" xfId="0" applyFont="1" applyBorder="1" applyAlignment="1" applyProtection="1">
      <alignment shrinkToFit="1"/>
      <protection hidden="1"/>
    </xf>
    <xf numFmtId="0" fontId="83" fillId="23" borderId="11" xfId="0" applyFont="1" applyFill="1" applyBorder="1" applyAlignment="1" applyProtection="1">
      <alignment shrinkToFit="1"/>
      <protection locked="0"/>
    </xf>
    <xf numFmtId="0" fontId="91" fillId="22" borderId="0" xfId="0" applyFont="1" applyFill="1" applyBorder="1" applyAlignment="1" applyProtection="1">
      <alignment horizontal="center" wrapText="1" shrinkToFit="1"/>
      <protection hidden="1"/>
    </xf>
    <xf numFmtId="173" fontId="97" fillId="22" borderId="11" xfId="40" applyNumberFormat="1" applyFont="1" applyFill="1" applyBorder="1" applyAlignment="1" applyProtection="1">
      <alignment horizontal="center" vertical="center"/>
      <protection hidden="1"/>
    </xf>
    <xf numFmtId="173" fontId="90" fillId="22" borderId="11" xfId="40" applyNumberFormat="1" applyFont="1" applyFill="1" applyBorder="1" applyAlignment="1" applyProtection="1">
      <alignment horizontal="center"/>
      <protection hidden="1"/>
    </xf>
    <xf numFmtId="173" fontId="90" fillId="22" borderId="11" xfId="40" applyNumberFormat="1" applyFont="1" applyFill="1" applyBorder="1" applyAlignment="1" applyProtection="1">
      <alignment horizontal="center" vertical="center"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0" fontId="98" fillId="0" borderId="38" xfId="0" applyFont="1" applyBorder="1" applyAlignment="1" applyProtection="1">
      <alignment wrapText="1" shrinkToFit="1"/>
      <protection hidden="1"/>
    </xf>
    <xf numFmtId="0" fontId="98" fillId="0" borderId="10" xfId="0" applyFont="1" applyBorder="1" applyAlignment="1" applyProtection="1">
      <alignment wrapText="1" shrinkToFit="1"/>
      <protection hidden="1"/>
    </xf>
    <xf numFmtId="0" fontId="88" fillId="0" borderId="38" xfId="0" applyFont="1" applyBorder="1" applyAlignment="1" applyProtection="1">
      <alignment horizontal="left" shrinkToFit="1"/>
      <protection hidden="1"/>
    </xf>
    <xf numFmtId="0" fontId="88" fillId="0" borderId="10" xfId="0" applyFont="1" applyBorder="1" applyAlignment="1" applyProtection="1">
      <alignment horizontal="left" shrinkToFit="1"/>
      <protection hidden="1"/>
    </xf>
    <xf numFmtId="0" fontId="89" fillId="0" borderId="38" xfId="0" applyFont="1" applyBorder="1" applyAlignment="1" applyProtection="1">
      <alignment horizontal="justify" shrinkToFit="1"/>
      <protection hidden="1"/>
    </xf>
    <xf numFmtId="0" fontId="89" fillId="0" borderId="10" xfId="0" applyFont="1" applyBorder="1" applyAlignment="1" applyProtection="1">
      <alignment horizontal="justify" shrinkToFit="1"/>
      <protection hidden="1"/>
    </xf>
    <xf numFmtId="173" fontId="95" fillId="22" borderId="0" xfId="40" applyNumberFormat="1" applyFont="1" applyFill="1" applyBorder="1" applyAlignment="1" applyProtection="1">
      <alignment horizontal="center"/>
      <protection hidden="1"/>
    </xf>
    <xf numFmtId="0" fontId="94" fillId="22" borderId="0" xfId="0" applyFont="1" applyFill="1" applyBorder="1" applyAlignment="1" applyProtection="1">
      <alignment horizontal="center"/>
      <protection hidden="1"/>
    </xf>
    <xf numFmtId="0" fontId="64" fillId="0" borderId="10" xfId="0" applyFont="1" applyBorder="1" applyAlignment="1" applyProtection="1">
      <alignment shrinkToFit="1"/>
      <protection hidden="1"/>
    </xf>
    <xf numFmtId="0" fontId="83" fillId="0" borderId="11" xfId="0" applyFont="1" applyBorder="1" applyAlignment="1" applyProtection="1">
      <alignment horizontal="center"/>
      <protection hidden="1"/>
    </xf>
    <xf numFmtId="0" fontId="83" fillId="0" borderId="49" xfId="0" applyFont="1" applyBorder="1" applyAlignment="1" applyProtection="1">
      <alignment horizontal="center"/>
      <protection hidden="1"/>
    </xf>
    <xf numFmtId="0" fontId="88" fillId="0" borderId="110" xfId="0" applyFont="1" applyBorder="1" applyAlignment="1" applyProtection="1">
      <alignment horizontal="center" wrapText="1"/>
      <protection hidden="1"/>
    </xf>
    <xf numFmtId="0" fontId="88" fillId="0" borderId="65" xfId="0" applyFont="1" applyBorder="1" applyAlignment="1" applyProtection="1">
      <alignment horizontal="center" wrapText="1"/>
      <protection hidden="1"/>
    </xf>
    <xf numFmtId="0" fontId="121" fillId="0" borderId="0" xfId="0" applyFont="1" applyBorder="1" applyAlignment="1" applyProtection="1">
      <alignment horizontal="center" wrapText="1"/>
      <protection hidden="1"/>
    </xf>
    <xf numFmtId="0" fontId="89" fillId="0" borderId="38" xfId="0" applyFont="1" applyBorder="1" applyAlignment="1" applyProtection="1">
      <alignment horizontal="justify" wrapText="1"/>
      <protection hidden="1"/>
    </xf>
    <xf numFmtId="0" fontId="89" fillId="0" borderId="10" xfId="0" applyFont="1" applyBorder="1" applyAlignment="1" applyProtection="1">
      <alignment horizontal="justify" wrapText="1"/>
      <protection hidden="1"/>
    </xf>
    <xf numFmtId="0" fontId="141" fillId="0" borderId="38" xfId="0" applyFont="1" applyBorder="1" applyAlignment="1" applyProtection="1">
      <alignment wrapText="1" shrinkToFit="1"/>
      <protection hidden="1"/>
    </xf>
    <xf numFmtId="0" fontId="141" fillId="0" borderId="10" xfId="0" applyFont="1" applyBorder="1" applyAlignment="1" applyProtection="1">
      <alignment wrapText="1" shrinkToFit="1"/>
      <protection hidden="1"/>
    </xf>
    <xf numFmtId="0" fontId="89" fillId="0" borderId="38" xfId="0" applyFont="1" applyBorder="1" applyAlignment="1" applyProtection="1">
      <alignment wrapText="1" shrinkToFit="1"/>
      <protection hidden="1"/>
    </xf>
    <xf numFmtId="0" fontId="89" fillId="0" borderId="10" xfId="0" applyFont="1" applyBorder="1" applyAlignment="1" applyProtection="1">
      <alignment wrapText="1" shrinkToFit="1"/>
      <protection hidden="1"/>
    </xf>
    <xf numFmtId="0" fontId="90" fillId="22" borderId="11" xfId="40" applyNumberFormat="1" applyFont="1" applyFill="1" applyBorder="1" applyAlignment="1" applyProtection="1">
      <alignment horizontal="center" vertical="center"/>
      <protection hidden="1"/>
    </xf>
    <xf numFmtId="0" fontId="64" fillId="0" borderId="56" xfId="0" applyFont="1" applyFill="1" applyBorder="1" applyAlignment="1" applyProtection="1">
      <alignment horizontal="right" shrinkToFit="1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49" fillId="0" borderId="111" xfId="0" applyFont="1" applyBorder="1" applyAlignment="1" applyProtection="1">
      <alignment/>
      <protection hidden="1"/>
    </xf>
    <xf numFmtId="0" fontId="50" fillId="0" borderId="39" xfId="0" applyFont="1" applyBorder="1" applyAlignment="1" applyProtection="1">
      <alignment horizontal="center"/>
      <protection hidden="1"/>
    </xf>
    <xf numFmtId="0" fontId="50" fillId="0" borderId="46" xfId="0" applyFont="1" applyBorder="1" applyAlignment="1" applyProtection="1">
      <alignment horizontal="left"/>
      <protection hidden="1"/>
    </xf>
    <xf numFmtId="0" fontId="49" fillId="0" borderId="54" xfId="0" applyFont="1" applyBorder="1" applyAlignment="1" applyProtection="1">
      <alignment/>
      <protection hidden="1"/>
    </xf>
    <xf numFmtId="0" fontId="49" fillId="0" borderId="1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wrapText="1"/>
      <protection hidden="1"/>
    </xf>
    <xf numFmtId="0" fontId="49" fillId="0" borderId="0" xfId="0" applyFont="1" applyBorder="1" applyAlignment="1" applyProtection="1">
      <alignment horizontal="left" wrapText="1"/>
      <protection hidden="1"/>
    </xf>
    <xf numFmtId="173" fontId="50" fillId="17" borderId="11" xfId="40" applyNumberFormat="1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0" fontId="49" fillId="0" borderId="46" xfId="0" applyFont="1" applyBorder="1" applyAlignment="1" applyProtection="1">
      <alignment/>
      <protection hidden="1"/>
    </xf>
    <xf numFmtId="0" fontId="50" fillId="17" borderId="112" xfId="0" applyFont="1" applyFill="1" applyBorder="1" applyAlignment="1" applyProtection="1">
      <alignment horizontal="right"/>
      <protection hidden="1"/>
    </xf>
    <xf numFmtId="0" fontId="49" fillId="0" borderId="39" xfId="0" applyFont="1" applyBorder="1" applyAlignment="1" applyProtection="1">
      <alignment/>
      <protection hidden="1"/>
    </xf>
    <xf numFmtId="0" fontId="110" fillId="34" borderId="0" xfId="0" applyFont="1" applyFill="1" applyBorder="1" applyAlignment="1" applyProtection="1">
      <alignment horizontal="center"/>
      <protection hidden="1"/>
    </xf>
    <xf numFmtId="0" fontId="50" fillId="17" borderId="47" xfId="0" applyFont="1" applyFill="1" applyBorder="1" applyAlignment="1" applyProtection="1">
      <alignment horizontal="center"/>
      <protection hidden="1"/>
    </xf>
    <xf numFmtId="0" fontId="49" fillId="0" borderId="38" xfId="0" applyFont="1" applyBorder="1" applyAlignment="1" applyProtection="1">
      <alignment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49" fillId="17" borderId="55" xfId="0" applyFont="1" applyFill="1" applyBorder="1" applyAlignment="1" applyProtection="1">
      <alignment/>
      <protection hidden="1"/>
    </xf>
    <xf numFmtId="177" fontId="64" fillId="17" borderId="46" xfId="0" applyNumberFormat="1" applyFont="1" applyFill="1" applyBorder="1" applyAlignment="1" applyProtection="1">
      <alignment horizontal="left" shrinkToFit="1"/>
      <protection hidden="1"/>
    </xf>
    <xf numFmtId="0" fontId="50" fillId="0" borderId="49" xfId="0" applyFont="1" applyBorder="1" applyAlignment="1" applyProtection="1">
      <alignment vertical="top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49" fillId="17" borderId="57" xfId="0" applyFont="1" applyFill="1" applyBorder="1" applyAlignment="1" applyProtection="1">
      <alignment/>
      <protection hidden="1"/>
    </xf>
    <xf numFmtId="0" fontId="50" fillId="17" borderId="35" xfId="0" applyNumberFormat="1" applyFont="1" applyFill="1" applyBorder="1" applyAlignment="1" applyProtection="1">
      <alignment horizontal="left" shrinkToFit="1"/>
      <protection hidden="1"/>
    </xf>
    <xf numFmtId="0" fontId="64" fillId="0" borderId="56" xfId="0" applyFont="1" applyFill="1" applyBorder="1" applyAlignment="1" applyProtection="1">
      <alignment shrinkToFit="1"/>
      <protection hidden="1"/>
    </xf>
    <xf numFmtId="0" fontId="49" fillId="0" borderId="113" xfId="0" applyFont="1" applyBorder="1" applyAlignment="1" applyProtection="1">
      <alignment horizontal="center" shrinkToFit="1"/>
      <protection hidden="1"/>
    </xf>
    <xf numFmtId="0" fontId="49" fillId="0" borderId="35" xfId="0" applyFont="1" applyBorder="1" applyAlignment="1" applyProtection="1">
      <alignment wrapText="1"/>
      <protection hidden="1"/>
    </xf>
    <xf numFmtId="0" fontId="49" fillId="0" borderId="36" xfId="0" applyFont="1" applyBorder="1" applyAlignment="1" applyProtection="1">
      <alignment/>
      <protection hidden="1"/>
    </xf>
    <xf numFmtId="0" fontId="50" fillId="0" borderId="38" xfId="0" applyFont="1" applyBorder="1" applyAlignment="1" applyProtection="1">
      <alignment wrapText="1"/>
      <protection hidden="1"/>
    </xf>
    <xf numFmtId="0" fontId="50" fillId="17" borderId="58" xfId="0" applyFont="1" applyFill="1" applyBorder="1" applyAlignment="1" applyProtection="1">
      <alignment/>
      <protection hidden="1"/>
    </xf>
    <xf numFmtId="0" fontId="49" fillId="17" borderId="39" xfId="0" applyFont="1" applyFill="1" applyBorder="1" applyAlignment="1" applyProtection="1">
      <alignment shrinkToFit="1"/>
      <protection hidden="1"/>
    </xf>
    <xf numFmtId="49" fontId="64" fillId="17" borderId="47" xfId="0" applyNumberFormat="1" applyFont="1" applyFill="1" applyBorder="1" applyAlignment="1" applyProtection="1">
      <alignment shrinkToFit="1"/>
      <protection hidden="1"/>
    </xf>
    <xf numFmtId="0" fontId="64" fillId="17" borderId="47" xfId="0" applyFont="1" applyFill="1" applyBorder="1" applyAlignment="1" applyProtection="1">
      <alignment shrinkToFit="1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49" fillId="17" borderId="47" xfId="0" applyFont="1" applyFill="1" applyBorder="1" applyAlignment="1" applyProtection="1">
      <alignment horizontal="center"/>
      <protection hidden="1"/>
    </xf>
    <xf numFmtId="0" fontId="59" fillId="17" borderId="47" xfId="0" applyFont="1" applyFill="1" applyBorder="1" applyAlignment="1" applyProtection="1">
      <alignment horizontal="center"/>
      <protection hidden="1"/>
    </xf>
    <xf numFmtId="0" fontId="146" fillId="17" borderId="47" xfId="0" applyFont="1" applyFill="1" applyBorder="1" applyAlignment="1" applyProtection="1">
      <alignment horizontal="center"/>
      <protection hidden="1"/>
    </xf>
    <xf numFmtId="0" fontId="59" fillId="17" borderId="36" xfId="0" applyFont="1" applyFill="1" applyBorder="1" applyAlignment="1" applyProtection="1">
      <alignment horizontal="center"/>
      <protection hidden="1"/>
    </xf>
    <xf numFmtId="0" fontId="59" fillId="17" borderId="58" xfId="0" applyFont="1" applyFill="1" applyBorder="1" applyAlignment="1" applyProtection="1">
      <alignment/>
      <protection hidden="1"/>
    </xf>
    <xf numFmtId="0" fontId="49" fillId="0" borderId="60" xfId="0" applyFont="1" applyBorder="1" applyAlignment="1" applyProtection="1">
      <alignment wrapText="1"/>
      <protection hidden="1"/>
    </xf>
    <xf numFmtId="0" fontId="60" fillId="29" borderId="0" xfId="0" applyFont="1" applyFill="1" applyBorder="1" applyAlignment="1" applyProtection="1">
      <alignment/>
      <protection hidden="1"/>
    </xf>
    <xf numFmtId="0" fontId="50" fillId="0" borderId="60" xfId="0" applyFont="1" applyBorder="1" applyAlignment="1" applyProtection="1">
      <alignment vertical="top"/>
      <protection hidden="1"/>
    </xf>
    <xf numFmtId="0" fontId="80" fillId="0" borderId="0" xfId="0" applyFont="1" applyBorder="1" applyAlignment="1" applyProtection="1">
      <alignment wrapText="1"/>
      <protection hidden="1"/>
    </xf>
    <xf numFmtId="0" fontId="49" fillId="0" borderId="77" xfId="0" applyFont="1" applyBorder="1" applyAlignment="1" applyProtection="1">
      <alignment wrapText="1"/>
      <protection hidden="1"/>
    </xf>
    <xf numFmtId="0" fontId="73" fillId="29" borderId="79" xfId="0" applyFont="1" applyFill="1" applyBorder="1" applyAlignment="1" applyProtection="1">
      <alignment horizontal="center" shrinkToFit="1"/>
      <protection hidden="1"/>
    </xf>
    <xf numFmtId="0" fontId="73" fillId="29" borderId="0" xfId="0" applyFont="1" applyFill="1" applyBorder="1" applyAlignment="1" applyProtection="1">
      <alignment horizontal="center" shrinkToFit="1"/>
      <protection hidden="1"/>
    </xf>
    <xf numFmtId="0" fontId="100" fillId="0" borderId="91" xfId="0" applyFont="1" applyBorder="1" applyAlignment="1" applyProtection="1">
      <alignment vertical="top" wrapTex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49" fillId="0" borderId="74" xfId="0" applyFont="1" applyBorder="1" applyAlignment="1" applyProtection="1">
      <alignment wrapText="1"/>
      <protection hidden="1"/>
    </xf>
    <xf numFmtId="0" fontId="49" fillId="29" borderId="0" xfId="0" applyFont="1" applyFill="1" applyBorder="1" applyAlignment="1" applyProtection="1">
      <alignment/>
      <protection hidden="1"/>
    </xf>
    <xf numFmtId="0" fontId="49" fillId="0" borderId="114" xfId="0" applyFont="1" applyBorder="1" applyAlignment="1" applyProtection="1">
      <alignment wrapText="1"/>
      <protection hidden="1"/>
    </xf>
    <xf numFmtId="0" fontId="49" fillId="0" borderId="115" xfId="0" applyFont="1" applyBorder="1" applyAlignment="1" applyProtection="1">
      <alignment wrapText="1"/>
      <protection hidden="1"/>
    </xf>
    <xf numFmtId="0" fontId="49" fillId="29" borderId="0" xfId="0" applyFont="1" applyFill="1" applyBorder="1" applyAlignment="1" applyProtection="1">
      <alignment wrapText="1"/>
      <protection hidden="1"/>
    </xf>
    <xf numFmtId="0" fontId="66" fillId="0" borderId="0" xfId="0" applyFont="1" applyBorder="1" applyAlignment="1" applyProtection="1">
      <alignment wrapText="1"/>
      <protection hidden="1"/>
    </xf>
    <xf numFmtId="0" fontId="65" fillId="0" borderId="11" xfId="0" applyFont="1" applyBorder="1" applyAlignment="1" applyProtection="1">
      <alignment horizontal="left" vertical="center" wrapText="1"/>
      <protection hidden="1"/>
    </xf>
    <xf numFmtId="3" fontId="50" fillId="0" borderId="11" xfId="0" applyNumberFormat="1" applyFont="1" applyFill="1" applyBorder="1" applyAlignment="1" applyProtection="1">
      <alignment horizontal="right" shrinkToFit="1"/>
      <protection locked="0"/>
    </xf>
    <xf numFmtId="3" fontId="50" fillId="0" borderId="49" xfId="0" applyNumberFormat="1" applyFont="1" applyFill="1" applyBorder="1" applyAlignment="1" applyProtection="1">
      <alignment horizontal="right" shrinkToFit="1"/>
      <protection locked="0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39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>
      <alignment horizontal="left" vertical="center" wrapText="1"/>
    </xf>
    <xf numFmtId="174" fontId="50" fillId="0" borderId="11" xfId="0" applyNumberFormat="1" applyFont="1" applyFill="1" applyBorder="1" applyAlignment="1" applyProtection="1">
      <alignment horizontal="right" shrinkToFit="1"/>
      <protection locked="0"/>
    </xf>
    <xf numFmtId="174" fontId="50" fillId="0" borderId="16" xfId="0" applyNumberFormat="1" applyFont="1" applyFill="1" applyBorder="1" applyAlignment="1" applyProtection="1">
      <alignment horizontal="right" shrinkToFit="1"/>
      <protection locked="0"/>
    </xf>
    <xf numFmtId="174" fontId="50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5" fillId="0" borderId="11" xfId="0" applyFont="1" applyBorder="1" applyAlignment="1" applyProtection="1">
      <alignment vertical="center" wrapText="1"/>
      <protection hidden="1"/>
    </xf>
    <xf numFmtId="174" fontId="50" fillId="0" borderId="58" xfId="0" applyNumberFormat="1" applyFont="1" applyFill="1" applyBorder="1" applyAlignment="1" applyProtection="1">
      <alignment horizontal="right" shrinkToFit="1"/>
      <protection locked="0"/>
    </xf>
    <xf numFmtId="174" fontId="50" fillId="0" borderId="53" xfId="0" applyNumberFormat="1" applyFont="1" applyFill="1" applyBorder="1" applyAlignment="1" applyProtection="1">
      <alignment horizontal="right" shrinkToFit="1"/>
      <protection locked="0"/>
    </xf>
    <xf numFmtId="174" fontId="50" fillId="0" borderId="39" xfId="0" applyNumberFormat="1" applyFont="1" applyFill="1" applyBorder="1" applyAlignment="1" applyProtection="1">
      <alignment horizontal="right" shrinkToFit="1"/>
      <protection locked="0"/>
    </xf>
    <xf numFmtId="174" fontId="50" fillId="0" borderId="57" xfId="0" applyNumberFormat="1" applyFont="1" applyFill="1" applyBorder="1" applyAlignment="1" applyProtection="1">
      <alignment horizontal="right" shrinkToFit="1"/>
      <protection locked="0"/>
    </xf>
    <xf numFmtId="174" fontId="50" fillId="0" borderId="54" xfId="0" applyNumberFormat="1" applyFont="1" applyFill="1" applyBorder="1" applyAlignment="1" applyProtection="1">
      <alignment horizontal="right" shrinkToFit="1"/>
      <protection locked="0"/>
    </xf>
    <xf numFmtId="174" fontId="50" fillId="0" borderId="35" xfId="0" applyNumberFormat="1" applyFont="1" applyFill="1" applyBorder="1" applyAlignment="1" applyProtection="1">
      <alignment horizontal="right" shrinkToFit="1"/>
      <protection locked="0"/>
    </xf>
    <xf numFmtId="165" fontId="64" fillId="17" borderId="46" xfId="0" applyNumberFormat="1" applyFont="1" applyFill="1" applyBorder="1" applyAlignment="1" applyProtection="1">
      <alignment horizontal="left" shrinkToFit="1"/>
      <protection hidden="1"/>
    </xf>
    <xf numFmtId="0" fontId="50" fillId="17" borderId="35" xfId="0" applyFont="1" applyFill="1" applyBorder="1" applyAlignment="1" applyProtection="1">
      <alignment horizontal="left" shrinkToFit="1"/>
      <protection hidden="1"/>
    </xf>
    <xf numFmtId="0" fontId="50" fillId="0" borderId="11" xfId="0" applyFont="1" applyBorder="1" applyAlignment="1" applyProtection="1">
      <alignment vertical="top" wrapText="1"/>
      <protection hidden="1"/>
    </xf>
    <xf numFmtId="0" fontId="124" fillId="0" borderId="11" xfId="0" applyFont="1" applyBorder="1" applyAlignment="1" applyProtection="1">
      <alignment horizontal="center" vertical="center" wrapText="1"/>
      <protection hidden="1"/>
    </xf>
    <xf numFmtId="0" fontId="110" fillId="17" borderId="36" xfId="0" applyFont="1" applyFill="1" applyBorder="1" applyAlignment="1" applyProtection="1">
      <alignment horizontal="center"/>
      <protection hidden="1"/>
    </xf>
    <xf numFmtId="174" fontId="50" fillId="0" borderId="49" xfId="0" applyNumberFormat="1" applyFont="1" applyFill="1" applyBorder="1" applyAlignment="1" applyProtection="1">
      <alignment horizontal="right" shrinkToFit="1"/>
      <protection locked="0"/>
    </xf>
    <xf numFmtId="174" fontId="50" fillId="0" borderId="10" xfId="0" applyNumberFormat="1" applyFont="1" applyFill="1" applyBorder="1" applyAlignment="1" applyProtection="1">
      <alignment horizontal="right" shrinkToFit="1"/>
      <protection locked="0"/>
    </xf>
    <xf numFmtId="174" fontId="50" fillId="0" borderId="38" xfId="0" applyNumberFormat="1" applyFont="1" applyFill="1" applyBorder="1" applyAlignment="1" applyProtection="1">
      <alignment horizontal="right" shrinkToFit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 hidden="1"/>
    </xf>
    <xf numFmtId="49" fontId="50" fillId="0" borderId="49" xfId="0" applyNumberFormat="1" applyFont="1" applyFill="1" applyBorder="1" applyAlignment="1" applyProtection="1">
      <alignment horizontal="right" vertical="center" shrinkToFit="1"/>
      <protection locked="0"/>
    </xf>
    <xf numFmtId="49" fontId="50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5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hidden="1"/>
    </xf>
    <xf numFmtId="4" fontId="50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54" xfId="0" applyFont="1" applyBorder="1" applyAlignment="1" applyProtection="1">
      <alignment horizontal="left" vertical="top" wrapText="1"/>
      <protection locked="0"/>
    </xf>
    <xf numFmtId="0" fontId="50" fillId="0" borderId="49" xfId="0" applyFont="1" applyBorder="1" applyAlignment="1" applyProtection="1">
      <alignment wrapText="1"/>
      <protection hidden="1"/>
    </xf>
    <xf numFmtId="0" fontId="50" fillId="0" borderId="10" xfId="0" applyFont="1" applyBorder="1" applyAlignment="1" applyProtection="1">
      <alignment wrapText="1"/>
      <protection hidden="1"/>
    </xf>
    <xf numFmtId="0" fontId="93" fillId="35" borderId="0" xfId="0" applyFont="1" applyFill="1" applyBorder="1" applyAlignment="1" applyProtection="1">
      <alignment shrinkToFit="1"/>
      <protection hidden="1"/>
    </xf>
    <xf numFmtId="0" fontId="121" fillId="35" borderId="46" xfId="0" applyFont="1" applyFill="1" applyBorder="1" applyAlignment="1" applyProtection="1">
      <alignment shrinkToFit="1"/>
      <protection hidden="1"/>
    </xf>
    <xf numFmtId="0" fontId="121" fillId="35" borderId="0" xfId="0" applyFont="1" applyFill="1" applyBorder="1" applyAlignment="1" applyProtection="1">
      <alignment shrinkToFit="1"/>
      <protection hidden="1"/>
    </xf>
    <xf numFmtId="0" fontId="104" fillId="35" borderId="0" xfId="0" applyFont="1" applyFill="1" applyBorder="1" applyAlignment="1">
      <alignment wrapText="1"/>
    </xf>
    <xf numFmtId="0" fontId="49" fillId="35" borderId="0" xfId="0" applyFont="1" applyFill="1" applyBorder="1" applyAlignment="1" applyProtection="1">
      <alignment shrinkToFit="1"/>
      <protection hidden="1"/>
    </xf>
    <xf numFmtId="0" fontId="83" fillId="37" borderId="11" xfId="0" applyFont="1" applyFill="1" applyBorder="1" applyAlignment="1" applyProtection="1">
      <alignment shrinkToFit="1"/>
      <protection locked="0"/>
    </xf>
    <xf numFmtId="0" fontId="64" fillId="35" borderId="56" xfId="0" applyNumberFormat="1" applyFont="1" applyFill="1" applyBorder="1" applyAlignment="1" applyProtection="1">
      <alignment shrinkToFit="1"/>
      <protection locked="0"/>
    </xf>
    <xf numFmtId="0" fontId="49" fillId="35" borderId="56" xfId="0" applyFont="1" applyFill="1" applyBorder="1" applyAlignment="1" applyProtection="1">
      <alignment/>
      <protection hidden="1"/>
    </xf>
    <xf numFmtId="0" fontId="83" fillId="35" borderId="46" xfId="0" applyFont="1" applyFill="1" applyBorder="1" applyAlignment="1" applyProtection="1">
      <alignment shrinkToFit="1"/>
      <protection hidden="1"/>
    </xf>
    <xf numFmtId="178" fontId="140" fillId="35" borderId="0" xfId="0" applyNumberFormat="1" applyFont="1" applyFill="1" applyAlignment="1" applyProtection="1">
      <alignment/>
      <protection locked="0"/>
    </xf>
    <xf numFmtId="0" fontId="43" fillId="35" borderId="0" xfId="0" applyFont="1" applyFill="1" applyAlignment="1" applyProtection="1">
      <alignment/>
      <protection locked="0"/>
    </xf>
    <xf numFmtId="164" fontId="99" fillId="35" borderId="55" xfId="0" applyNumberFormat="1" applyFont="1" applyFill="1" applyBorder="1" applyAlignment="1" applyProtection="1">
      <alignment horizontal="center"/>
      <protection locked="0"/>
    </xf>
    <xf numFmtId="0" fontId="88" fillId="35" borderId="38" xfId="0" applyFont="1" applyFill="1" applyBorder="1" applyAlignment="1" applyProtection="1">
      <alignment shrinkToFit="1"/>
      <protection hidden="1"/>
    </xf>
    <xf numFmtId="0" fontId="88" fillId="35" borderId="10" xfId="0" applyFont="1" applyFill="1" applyBorder="1" applyAlignment="1" applyProtection="1">
      <alignment shrinkToFit="1"/>
      <protection hidden="1"/>
    </xf>
    <xf numFmtId="0" fontId="83" fillId="35" borderId="0" xfId="0" applyFont="1" applyFill="1" applyBorder="1" applyAlignment="1" applyProtection="1">
      <alignment horizontal="center" vertical="center"/>
      <protection hidden="1"/>
    </xf>
    <xf numFmtId="0" fontId="44" fillId="35" borderId="0" xfId="0" applyFont="1" applyFill="1" applyBorder="1" applyAlignment="1" applyProtection="1">
      <alignment/>
      <protection hidden="1"/>
    </xf>
    <xf numFmtId="49" fontId="44" fillId="35" borderId="0" xfId="0" applyNumberFormat="1" applyFont="1" applyFill="1" applyBorder="1" applyAlignment="1" applyProtection="1">
      <alignment/>
      <protection hidden="1"/>
    </xf>
    <xf numFmtId="0" fontId="64" fillId="35" borderId="0" xfId="0" applyFont="1" applyFill="1" applyBorder="1" applyAlignment="1" applyProtection="1">
      <alignment shrinkToFit="1"/>
      <protection hidden="1"/>
    </xf>
    <xf numFmtId="0" fontId="88" fillId="35" borderId="38" xfId="0" applyFont="1" applyFill="1" applyBorder="1" applyAlignment="1" applyProtection="1">
      <alignment wrapText="1" shrinkToFit="1"/>
      <protection hidden="1"/>
    </xf>
    <xf numFmtId="0" fontId="88" fillId="35" borderId="10" xfId="0" applyFont="1" applyFill="1" applyBorder="1" applyAlignment="1" applyProtection="1">
      <alignment wrapText="1" shrinkToFit="1"/>
      <protection hidden="1"/>
    </xf>
    <xf numFmtId="0" fontId="89" fillId="35" borderId="38" xfId="0" applyFont="1" applyFill="1" applyBorder="1" applyAlignment="1" applyProtection="1">
      <alignment shrinkToFit="1"/>
      <protection hidden="1"/>
    </xf>
    <xf numFmtId="0" fontId="89" fillId="35" borderId="10" xfId="0" applyFont="1" applyFill="1" applyBorder="1" applyAlignment="1" applyProtection="1">
      <alignment shrinkToFit="1"/>
      <protection hidden="1"/>
    </xf>
    <xf numFmtId="49" fontId="88" fillId="39" borderId="38" xfId="0" applyNumberFormat="1" applyFont="1" applyFill="1" applyBorder="1" applyAlignment="1" applyProtection="1">
      <alignment/>
      <protection locked="0"/>
    </xf>
    <xf numFmtId="49" fontId="88" fillId="39" borderId="10" xfId="0" applyNumberFormat="1" applyFont="1" applyFill="1" applyBorder="1" applyAlignment="1" applyProtection="1">
      <alignment/>
      <protection locked="0"/>
    </xf>
    <xf numFmtId="0" fontId="23" fillId="35" borderId="38" xfId="0" applyFont="1" applyFill="1" applyBorder="1" applyAlignment="1" applyProtection="1">
      <alignment horizontal="right" shrinkToFit="1"/>
      <protection locked="0"/>
    </xf>
    <xf numFmtId="0" fontId="23" fillId="35" borderId="10" xfId="0" applyFont="1" applyFill="1" applyBorder="1" applyAlignment="1" applyProtection="1">
      <alignment horizontal="right" shrinkToFit="1"/>
      <protection locked="0"/>
    </xf>
    <xf numFmtId="0" fontId="83" fillId="35" borderId="46" xfId="0" applyFont="1" applyFill="1" applyBorder="1" applyAlignment="1" applyProtection="1">
      <alignment/>
      <protection hidden="1"/>
    </xf>
    <xf numFmtId="0" fontId="83" fillId="35" borderId="0" xfId="0" applyFont="1" applyFill="1" applyBorder="1" applyAlignment="1" applyProtection="1">
      <alignment/>
      <protection hidden="1"/>
    </xf>
    <xf numFmtId="10" fontId="87" fillId="35" borderId="38" xfId="0" applyNumberFormat="1" applyFont="1" applyFill="1" applyBorder="1" applyAlignment="1" applyProtection="1">
      <alignment horizontal="center"/>
      <protection hidden="1"/>
    </xf>
    <xf numFmtId="10" fontId="87" fillId="35" borderId="10" xfId="0" applyNumberFormat="1" applyFont="1" applyFill="1" applyBorder="1" applyAlignment="1" applyProtection="1">
      <alignment horizontal="center"/>
      <protection hidden="1"/>
    </xf>
    <xf numFmtId="0" fontId="98" fillId="35" borderId="38" xfId="0" applyFont="1" applyFill="1" applyBorder="1" applyAlignment="1" applyProtection="1">
      <alignment wrapText="1" shrinkToFit="1"/>
      <protection hidden="1"/>
    </xf>
    <xf numFmtId="0" fontId="98" fillId="35" borderId="10" xfId="0" applyFont="1" applyFill="1" applyBorder="1" applyAlignment="1" applyProtection="1">
      <alignment wrapText="1" shrinkToFit="1"/>
      <protection hidden="1"/>
    </xf>
    <xf numFmtId="0" fontId="89" fillId="35" borderId="38" xfId="0" applyFont="1" applyFill="1" applyBorder="1" applyAlignment="1" applyProtection="1">
      <alignment horizontal="justify" shrinkToFit="1"/>
      <protection hidden="1"/>
    </xf>
    <xf numFmtId="0" fontId="89" fillId="35" borderId="10" xfId="0" applyFont="1" applyFill="1" applyBorder="1" applyAlignment="1" applyProtection="1">
      <alignment horizontal="justify" shrinkToFit="1"/>
      <protection hidden="1"/>
    </xf>
    <xf numFmtId="0" fontId="138" fillId="35" borderId="0" xfId="0" applyFont="1" applyFill="1" applyAlignment="1" applyProtection="1">
      <alignment vertical="center" wrapText="1"/>
      <protection hidden="1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wrapText="1"/>
    </xf>
    <xf numFmtId="0" fontId="88" fillId="35" borderId="38" xfId="0" applyFont="1" applyFill="1" applyBorder="1" applyAlignment="1" applyProtection="1">
      <alignment horizontal="left" shrinkToFit="1"/>
      <protection hidden="1"/>
    </xf>
    <xf numFmtId="0" fontId="88" fillId="35" borderId="10" xfId="0" applyFont="1" applyFill="1" applyBorder="1" applyAlignment="1" applyProtection="1">
      <alignment horizontal="left" shrinkToFit="1"/>
      <protection hidden="1"/>
    </xf>
    <xf numFmtId="0" fontId="141" fillId="35" borderId="38" xfId="0" applyFont="1" applyFill="1" applyBorder="1" applyAlignment="1" applyProtection="1">
      <alignment wrapText="1" shrinkToFit="1"/>
      <protection hidden="1"/>
    </xf>
    <xf numFmtId="0" fontId="141" fillId="35" borderId="10" xfId="0" applyFont="1" applyFill="1" applyBorder="1" applyAlignment="1" applyProtection="1">
      <alignment wrapText="1" shrinkToFit="1"/>
      <protection hidden="1"/>
    </xf>
    <xf numFmtId="0" fontId="89" fillId="35" borderId="38" xfId="0" applyFont="1" applyFill="1" applyBorder="1" applyAlignment="1" applyProtection="1">
      <alignment wrapText="1" shrinkToFit="1"/>
      <protection hidden="1"/>
    </xf>
    <xf numFmtId="0" fontId="89" fillId="35" borderId="10" xfId="0" applyFont="1" applyFill="1" applyBorder="1" applyAlignment="1" applyProtection="1">
      <alignment wrapText="1" shrinkToFit="1"/>
      <protection hidden="1"/>
    </xf>
    <xf numFmtId="0" fontId="89" fillId="35" borderId="38" xfId="0" applyFont="1" applyFill="1" applyBorder="1" applyAlignment="1" applyProtection="1">
      <alignment horizontal="justify" wrapText="1"/>
      <protection hidden="1"/>
    </xf>
    <xf numFmtId="0" fontId="89" fillId="35" borderId="10" xfId="0" applyFont="1" applyFill="1" applyBorder="1" applyAlignment="1" applyProtection="1">
      <alignment horizontal="justify" wrapText="1"/>
      <protection hidden="1"/>
    </xf>
    <xf numFmtId="0" fontId="64" fillId="35" borderId="10" xfId="0" applyFont="1" applyFill="1" applyBorder="1" applyAlignment="1" applyProtection="1">
      <alignment shrinkToFit="1"/>
      <protection hidden="1"/>
    </xf>
    <xf numFmtId="0" fontId="164" fillId="35" borderId="58" xfId="0" applyFont="1" applyFill="1" applyBorder="1" applyAlignment="1" applyProtection="1">
      <alignment horizontal="center" wrapText="1"/>
      <protection hidden="1"/>
    </xf>
    <xf numFmtId="0" fontId="164" fillId="35" borderId="53" xfId="0" applyFont="1" applyFill="1" applyBorder="1" applyAlignment="1" applyProtection="1">
      <alignment horizontal="center" wrapText="1"/>
      <protection hidden="1"/>
    </xf>
    <xf numFmtId="0" fontId="164" fillId="35" borderId="116" xfId="0" applyFont="1" applyFill="1" applyBorder="1" applyAlignment="1" applyProtection="1">
      <alignment horizontal="center" wrapText="1"/>
      <protection hidden="1"/>
    </xf>
    <xf numFmtId="0" fontId="164" fillId="35" borderId="57" xfId="0" applyFont="1" applyFill="1" applyBorder="1" applyAlignment="1" applyProtection="1">
      <alignment horizontal="center" wrapText="1"/>
      <protection hidden="1"/>
    </xf>
    <xf numFmtId="0" fontId="164" fillId="35" borderId="54" xfId="0" applyFont="1" applyFill="1" applyBorder="1" applyAlignment="1" applyProtection="1">
      <alignment horizontal="center" wrapText="1"/>
      <protection hidden="1"/>
    </xf>
    <xf numFmtId="0" fontId="164" fillId="35" borderId="97" xfId="0" applyFont="1" applyFill="1" applyBorder="1" applyAlignment="1" applyProtection="1">
      <alignment horizontal="center" wrapText="1"/>
      <protection hidden="1"/>
    </xf>
    <xf numFmtId="0" fontId="88" fillId="35" borderId="110" xfId="0" applyFont="1" applyFill="1" applyBorder="1" applyAlignment="1" applyProtection="1">
      <alignment horizontal="center" wrapText="1"/>
      <protection hidden="1"/>
    </xf>
    <xf numFmtId="0" fontId="88" fillId="35" borderId="65" xfId="0" applyFont="1" applyFill="1" applyBorder="1" applyAlignment="1" applyProtection="1">
      <alignment horizontal="center" wrapText="1"/>
      <protection hidden="1"/>
    </xf>
    <xf numFmtId="0" fontId="121" fillId="35" borderId="0" xfId="0" applyFont="1" applyFill="1" applyBorder="1" applyAlignment="1" applyProtection="1">
      <alignment horizontal="center" wrapText="1"/>
      <protection hidden="1"/>
    </xf>
    <xf numFmtId="0" fontId="65" fillId="0" borderId="10" xfId="0" applyFont="1" applyBorder="1" applyAlignment="1" applyProtection="1">
      <alignment vertical="top" wrapText="1" shrinkToFit="1"/>
      <protection hidden="1"/>
    </xf>
    <xf numFmtId="0" fontId="162" fillId="0" borderId="10" xfId="0" applyFont="1" applyBorder="1" applyAlignment="1">
      <alignment vertical="top" wrapText="1" shrinkToFit="1"/>
    </xf>
    <xf numFmtId="0" fontId="162" fillId="0" borderId="101" xfId="0" applyFont="1" applyBorder="1" applyAlignment="1">
      <alignment vertical="top" wrapText="1" shrinkToFit="1"/>
    </xf>
    <xf numFmtId="174" fontId="50" fillId="34" borderId="100" xfId="0" applyNumberFormat="1" applyFont="1" applyFill="1" applyBorder="1" applyAlignment="1" applyProtection="1">
      <alignment vertical="center" shrinkToFit="1"/>
      <protection hidden="1"/>
    </xf>
    <xf numFmtId="174" fontId="50" fillId="34" borderId="10" xfId="0" applyNumberFormat="1" applyFont="1" applyFill="1" applyBorder="1" applyAlignment="1" applyProtection="1">
      <alignment vertical="center" shrinkToFit="1"/>
      <protection hidden="1"/>
    </xf>
    <xf numFmtId="174" fontId="50" fillId="34" borderId="101" xfId="0" applyNumberFormat="1" applyFont="1" applyFill="1" applyBorder="1" applyAlignment="1" applyProtection="1">
      <alignment vertical="center" shrinkToFit="1"/>
      <protection hidden="1"/>
    </xf>
    <xf numFmtId="174" fontId="50" fillId="17" borderId="100" xfId="0" applyNumberFormat="1" applyFont="1" applyFill="1" applyBorder="1" applyAlignment="1" applyProtection="1">
      <alignment vertical="center" shrinkToFit="1"/>
      <protection locked="0"/>
    </xf>
    <xf numFmtId="174" fontId="50" fillId="17" borderId="10" xfId="0" applyNumberFormat="1" applyFont="1" applyFill="1" applyBorder="1" applyAlignment="1" applyProtection="1">
      <alignment vertical="center" shrinkToFit="1"/>
      <protection locked="0"/>
    </xf>
    <xf numFmtId="174" fontId="50" fillId="17" borderId="101" xfId="0" applyNumberFormat="1" applyFont="1" applyFill="1" applyBorder="1" applyAlignment="1" applyProtection="1">
      <alignment vertical="center" shrinkToFit="1"/>
      <protection locked="0"/>
    </xf>
    <xf numFmtId="174" fontId="50" fillId="40" borderId="100" xfId="0" applyNumberFormat="1" applyFont="1" applyFill="1" applyBorder="1" applyAlignment="1" applyProtection="1">
      <alignment vertical="center" shrinkToFit="1"/>
      <protection locked="0"/>
    </xf>
    <xf numFmtId="174" fontId="50" fillId="40" borderId="10" xfId="0" applyNumberFormat="1" applyFont="1" applyFill="1" applyBorder="1" applyAlignment="1" applyProtection="1">
      <alignment vertical="center" shrinkToFit="1"/>
      <protection locked="0"/>
    </xf>
    <xf numFmtId="174" fontId="50" fillId="40" borderId="101" xfId="0" applyNumberFormat="1" applyFont="1" applyFill="1" applyBorder="1" applyAlignment="1" applyProtection="1">
      <alignment vertical="center" shrinkToFit="1"/>
      <protection locked="0"/>
    </xf>
    <xf numFmtId="0" fontId="59" fillId="40" borderId="117" xfId="0" applyFont="1" applyFill="1" applyBorder="1" applyAlignment="1" applyProtection="1">
      <alignment horizontal="left" vertical="center" shrinkToFit="1"/>
      <protection hidden="1"/>
    </xf>
    <xf numFmtId="0" fontId="0" fillId="26" borderId="118" xfId="0" applyFill="1" applyBorder="1" applyAlignment="1">
      <alignment horizontal="left" vertical="center" shrinkToFit="1"/>
    </xf>
    <xf numFmtId="0" fontId="0" fillId="26" borderId="119" xfId="0" applyFill="1" applyBorder="1" applyAlignment="1">
      <alignment horizontal="left" vertical="center" shrinkToFit="1"/>
    </xf>
    <xf numFmtId="0" fontId="50" fillId="17" borderId="95" xfId="0" applyFont="1" applyFill="1" applyBorder="1" applyAlignment="1" applyProtection="1">
      <alignment horizontal="center" vertical="center" shrinkToFit="1"/>
      <protection hidden="1"/>
    </xf>
    <xf numFmtId="0" fontId="50" fillId="17" borderId="91" xfId="0" applyFont="1" applyFill="1" applyBorder="1" applyAlignment="1" applyProtection="1">
      <alignment horizontal="center" vertical="center" shrinkToFit="1"/>
      <protection hidden="1"/>
    </xf>
    <xf numFmtId="0" fontId="50" fillId="17" borderId="63" xfId="0" applyFont="1" applyFill="1" applyBorder="1" applyAlignment="1" applyProtection="1">
      <alignment horizontal="center" vertical="center" shrinkToFit="1"/>
      <protection hidden="1"/>
    </xf>
    <xf numFmtId="0" fontId="50" fillId="29" borderId="0" xfId="0" applyFont="1" applyFill="1" applyBorder="1" applyAlignment="1" applyProtection="1">
      <alignment vertical="top" wrapText="1"/>
      <protection hidden="1"/>
    </xf>
    <xf numFmtId="0" fontId="0" fillId="29" borderId="0" xfId="0" applyFill="1" applyBorder="1" applyAlignment="1">
      <alignment wrapText="1"/>
    </xf>
    <xf numFmtId="0" fontId="59" fillId="17" borderId="117" xfId="0" applyFont="1" applyFill="1" applyBorder="1" applyAlignment="1" applyProtection="1">
      <alignment horizontal="left" vertical="center" shrinkToFit="1"/>
      <protection hidden="1"/>
    </xf>
    <xf numFmtId="0" fontId="0" fillId="0" borderId="118" xfId="0" applyBorder="1" applyAlignment="1">
      <alignment horizontal="left" vertical="center" shrinkToFit="1"/>
    </xf>
    <xf numFmtId="0" fontId="0" fillId="0" borderId="119" xfId="0" applyBorder="1" applyAlignment="1">
      <alignment horizontal="left" vertical="center" shrinkToFit="1"/>
    </xf>
    <xf numFmtId="0" fontId="49" fillId="29" borderId="0" xfId="0" applyFont="1" applyFill="1" applyBorder="1" applyAlignment="1" applyProtection="1">
      <alignment horizontal="center" shrinkToFit="1"/>
      <protection hidden="1"/>
    </xf>
    <xf numFmtId="0" fontId="0" fillId="29" borderId="0" xfId="0" applyFill="1" applyBorder="1" applyAlignment="1">
      <alignment horizontal="center" shrinkToFit="1"/>
    </xf>
    <xf numFmtId="0" fontId="50" fillId="17" borderId="120" xfId="0" applyFont="1" applyFill="1" applyBorder="1" applyAlignment="1" applyProtection="1">
      <alignment horizontal="center" vertical="center" shrinkToFit="1"/>
      <protection hidden="1"/>
    </xf>
    <xf numFmtId="0" fontId="50" fillId="17" borderId="93" xfId="0" applyFont="1" applyFill="1" applyBorder="1" applyAlignment="1" applyProtection="1">
      <alignment horizontal="center" vertical="center" shrinkToFit="1"/>
      <protection hidden="1"/>
    </xf>
    <xf numFmtId="0" fontId="50" fillId="17" borderId="121" xfId="0" applyFont="1" applyFill="1" applyBorder="1" applyAlignment="1" applyProtection="1">
      <alignment horizontal="center" vertical="center" shrinkToFit="1"/>
      <protection hidden="1"/>
    </xf>
    <xf numFmtId="0" fontId="50" fillId="17" borderId="55" xfId="0" applyFont="1" applyFill="1" applyBorder="1" applyAlignment="1" applyProtection="1">
      <alignment horizontal="center" vertical="center" shrinkToFit="1"/>
      <protection hidden="1"/>
    </xf>
    <xf numFmtId="0" fontId="50" fillId="17" borderId="0" xfId="0" applyFont="1" applyFill="1" applyBorder="1" applyAlignment="1" applyProtection="1">
      <alignment horizontal="center" vertical="center" shrinkToFit="1"/>
      <protection hidden="1"/>
    </xf>
    <xf numFmtId="0" fontId="50" fillId="17" borderId="4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/>
    </xf>
    <xf numFmtId="3" fontId="109" fillId="0" borderId="53" xfId="0" applyNumberFormat="1" applyFont="1" applyFill="1" applyBorder="1" applyAlignment="1" applyProtection="1">
      <alignment horizontal="center" shrinkToFit="1"/>
      <protection hidden="1"/>
    </xf>
    <xf numFmtId="0" fontId="22" fillId="0" borderId="53" xfId="0" applyFont="1" applyBorder="1" applyAlignment="1">
      <alignment shrinkToFit="1"/>
    </xf>
    <xf numFmtId="0" fontId="49" fillId="17" borderId="11" xfId="0" applyFont="1" applyFill="1" applyBorder="1" applyAlignment="1" applyProtection="1">
      <alignment horizontal="left" vertical="center" shrinkToFit="1"/>
      <protection locked="0"/>
    </xf>
    <xf numFmtId="0" fontId="49" fillId="0" borderId="49" xfId="0" applyFont="1" applyBorder="1" applyAlignment="1" applyProtection="1">
      <alignment horizontal="center" vertical="center"/>
      <protection hidden="1"/>
    </xf>
    <xf numFmtId="165" fontId="64" fillId="17" borderId="0" xfId="0" applyNumberFormat="1" applyFont="1" applyFill="1" applyBorder="1" applyAlignment="1" applyProtection="1">
      <alignment horizontal="left" shrinkToFit="1"/>
      <protection hidden="1"/>
    </xf>
    <xf numFmtId="0" fontId="49" fillId="0" borderId="11" xfId="0" applyFont="1" applyBorder="1" applyAlignment="1" applyProtection="1">
      <alignment horizontal="center" shrinkToFit="1"/>
      <protection hidden="1"/>
    </xf>
    <xf numFmtId="0" fontId="50" fillId="0" borderId="38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61" fillId="0" borderId="0" xfId="0" applyFont="1" applyAlignment="1">
      <alignment shrinkToFit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64" fillId="0" borderId="61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6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8" fillId="17" borderId="0" xfId="0" applyFont="1" applyFill="1" applyBorder="1" applyAlignment="1" applyProtection="1">
      <alignment horizontal="left" vertical="center" shrinkToFit="1"/>
      <protection locked="0"/>
    </xf>
    <xf numFmtId="0" fontId="48" fillId="17" borderId="11" xfId="0" applyFont="1" applyFill="1" applyBorder="1" applyAlignment="1" applyProtection="1">
      <alignment horizontal="left" vertical="center" shrinkToFit="1"/>
      <protection locked="0"/>
    </xf>
    <xf numFmtId="3" fontId="48" fillId="17" borderId="11" xfId="0" applyNumberFormat="1" applyFont="1" applyFill="1" applyBorder="1" applyAlignment="1" applyProtection="1">
      <alignment horizontal="right" vertical="center" shrinkToFit="1"/>
      <protection locked="0"/>
    </xf>
    <xf numFmtId="0" fontId="48" fillId="17" borderId="38" xfId="0" applyFont="1" applyFill="1" applyBorder="1" applyAlignment="1" applyProtection="1">
      <alignment horizontal="left" vertical="center" shrinkToFit="1"/>
      <protection locked="0"/>
    </xf>
    <xf numFmtId="0" fontId="48" fillId="0" borderId="53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174" fontId="48" fillId="17" borderId="11" xfId="0" applyNumberFormat="1" applyFont="1" applyFill="1" applyBorder="1" applyAlignment="1" applyProtection="1">
      <alignment horizontal="right" vertical="center" shrinkToFit="1"/>
      <protection locked="0"/>
    </xf>
    <xf numFmtId="49" fontId="48" fillId="17" borderId="11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1" xfId="0" applyFont="1" applyBorder="1" applyAlignment="1" applyProtection="1">
      <alignment horizontal="left" vertical="center"/>
      <protection hidden="1"/>
    </xf>
    <xf numFmtId="0" fontId="59" fillId="0" borderId="11" xfId="0" applyFont="1" applyBorder="1" applyAlignment="1" applyProtection="1">
      <alignment horizontal="center" vertical="center" wrapText="1"/>
      <protection hidden="1"/>
    </xf>
    <xf numFmtId="0" fontId="59" fillId="0" borderId="11" xfId="0" applyFont="1" applyBorder="1" applyAlignment="1" applyProtection="1">
      <alignment horizontal="center" vertical="center"/>
      <protection hidden="1"/>
    </xf>
    <xf numFmtId="0" fontId="59" fillId="0" borderId="11" xfId="0" applyFont="1" applyBorder="1" applyAlignment="1" applyProtection="1">
      <alignment horizontal="center" vertical="center" wrapText="1" shrinkToFit="1"/>
      <protection hidden="1"/>
    </xf>
    <xf numFmtId="0" fontId="48" fillId="0" borderId="0" xfId="0" applyFont="1" applyBorder="1" applyAlignment="1" applyProtection="1">
      <alignment horizontal="center" shrinkToFit="1"/>
      <protection hidden="1"/>
    </xf>
    <xf numFmtId="0" fontId="48" fillId="0" borderId="46" xfId="0" applyFont="1" applyBorder="1" applyAlignment="1" applyProtection="1">
      <alignment horizontal="center" shrinkToFit="1"/>
      <protection hidden="1"/>
    </xf>
    <xf numFmtId="0" fontId="48" fillId="0" borderId="46" xfId="0" applyFont="1" applyBorder="1" applyAlignment="1" applyProtection="1">
      <alignment horizontal="left" shrinkToFit="1"/>
      <protection hidden="1"/>
    </xf>
    <xf numFmtId="0" fontId="48" fillId="0" borderId="0" xfId="0" applyFont="1" applyBorder="1" applyAlignment="1" applyProtection="1">
      <alignment horizontal="left" shrinkToFit="1"/>
      <protection hidden="1"/>
    </xf>
    <xf numFmtId="0" fontId="48" fillId="0" borderId="54" xfId="0" applyFont="1" applyBorder="1" applyAlignment="1" applyProtection="1">
      <alignment horizontal="center"/>
      <protection hidden="1"/>
    </xf>
    <xf numFmtId="0" fontId="48" fillId="0" borderId="36" xfId="0" applyFont="1" applyBorder="1" applyAlignment="1" applyProtection="1">
      <alignment horizontal="center"/>
      <protection hidden="1"/>
    </xf>
    <xf numFmtId="0" fontId="48" fillId="0" borderId="47" xfId="0" applyFont="1" applyBorder="1" applyAlignment="1" applyProtection="1">
      <alignment horizontal="center"/>
      <protection hidden="1"/>
    </xf>
    <xf numFmtId="0" fontId="64" fillId="0" borderId="36" xfId="0" applyFont="1" applyBorder="1" applyAlignment="1" applyProtection="1">
      <alignment horizontal="center" vertical="center"/>
      <protection hidden="1"/>
    </xf>
    <xf numFmtId="0" fontId="64" fillId="0" borderId="55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48" fillId="0" borderId="10" xfId="0" applyFont="1" applyBorder="1" applyAlignment="1" applyProtection="1">
      <alignment horizontal="center"/>
      <protection hidden="1"/>
    </xf>
    <xf numFmtId="165" fontId="64" fillId="0" borderId="10" xfId="0" applyNumberFormat="1" applyFont="1" applyBorder="1" applyAlignment="1" applyProtection="1">
      <alignment horizontal="left" vertical="center" shrinkToFit="1"/>
      <protection hidden="1"/>
    </xf>
    <xf numFmtId="0" fontId="59" fillId="0" borderId="58" xfId="0" applyFont="1" applyBorder="1" applyAlignment="1" applyProtection="1">
      <alignment horizontal="left"/>
      <protection hidden="1"/>
    </xf>
    <xf numFmtId="0" fontId="113" fillId="0" borderId="55" xfId="0" applyFont="1" applyBorder="1" applyAlignment="1" applyProtection="1">
      <alignment horizontal="left" vertical="center"/>
      <protection hidden="1"/>
    </xf>
    <xf numFmtId="0" fontId="64" fillId="0" borderId="10" xfId="0" applyFont="1" applyBorder="1" applyAlignment="1" applyProtection="1">
      <alignment horizontal="left" vertical="center" shrinkToFit="1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47" xfId="0" applyFont="1" applyBorder="1" applyAlignment="1" applyProtection="1">
      <alignment horizontal="center" vertical="center"/>
      <protection hidden="1"/>
    </xf>
    <xf numFmtId="1" fontId="112" fillId="0" borderId="55" xfId="0" applyNumberFormat="1" applyFont="1" applyBorder="1" applyAlignment="1" applyProtection="1">
      <alignment horizontal="right" vertical="center"/>
      <protection hidden="1"/>
    </xf>
    <xf numFmtId="49" fontId="64" fillId="0" borderId="54" xfId="0" applyNumberFormat="1" applyFont="1" applyBorder="1" applyAlignment="1" applyProtection="1">
      <alignment horizontal="left" vertical="center" shrinkToFit="1"/>
      <protection hidden="1"/>
    </xf>
    <xf numFmtId="0" fontId="64" fillId="0" borderId="54" xfId="0" applyFont="1" applyBorder="1" applyAlignment="1" applyProtection="1">
      <alignment horizontal="left" vertical="center" shrinkToFit="1"/>
      <protection hidden="1"/>
    </xf>
    <xf numFmtId="0" fontId="49" fillId="0" borderId="38" xfId="0" applyFont="1" applyBorder="1" applyAlignment="1" applyProtection="1">
      <alignment/>
      <protection hidden="1"/>
    </xf>
    <xf numFmtId="0" fontId="49" fillId="0" borderId="11" xfId="0" applyFont="1" applyBorder="1" applyAlignment="1" applyProtection="1">
      <alignment/>
      <protection hidden="1"/>
    </xf>
    <xf numFmtId="0" fontId="49" fillId="0" borderId="38" xfId="0" applyFont="1" applyBorder="1" applyAlignment="1" applyProtection="1">
      <alignment vertical="top" wrapText="1"/>
      <protection hidden="1"/>
    </xf>
    <xf numFmtId="0" fontId="50" fillId="0" borderId="38" xfId="0" applyFont="1" applyBorder="1" applyAlignment="1" applyProtection="1">
      <alignment vertical="top" wrapText="1"/>
      <protection hidden="1"/>
    </xf>
    <xf numFmtId="0" fontId="49" fillId="17" borderId="58" xfId="0" applyFont="1" applyFill="1" applyBorder="1" applyAlignment="1" applyProtection="1">
      <alignment/>
      <protection hidden="1"/>
    </xf>
    <xf numFmtId="0" fontId="49" fillId="0" borderId="49" xfId="0" applyFont="1" applyBorder="1" applyAlignment="1" applyProtection="1">
      <alignment/>
      <protection hidden="1"/>
    </xf>
    <xf numFmtId="0" fontId="49" fillId="0" borderId="11" xfId="0" applyFont="1" applyBorder="1" applyAlignment="1" applyProtection="1">
      <alignment horizontal="center" wrapText="1"/>
      <protection hidden="1"/>
    </xf>
    <xf numFmtId="0" fontId="50" fillId="17" borderId="47" xfId="0" applyFont="1" applyFill="1" applyBorder="1" applyAlignment="1" applyProtection="1">
      <alignment horizontal="center" shrinkToFit="1"/>
      <protection hidden="1"/>
    </xf>
    <xf numFmtId="0" fontId="88" fillId="0" borderId="91" xfId="0" applyFont="1" applyBorder="1" applyAlignment="1">
      <alignment horizontal="left" wrapText="1"/>
    </xf>
    <xf numFmtId="0" fontId="88" fillId="0" borderId="63" xfId="0" applyFont="1" applyBorder="1" applyAlignment="1">
      <alignment horizontal="left" wrapText="1"/>
    </xf>
    <xf numFmtId="0" fontId="88" fillId="0" borderId="91" xfId="0" applyFont="1" applyBorder="1" applyAlignment="1">
      <alignment horizontal="left" vertical="center" wrapText="1"/>
    </xf>
    <xf numFmtId="0" fontId="88" fillId="0" borderId="63" xfId="0" applyFont="1" applyBorder="1" applyAlignment="1">
      <alignment horizontal="left" vertical="center" wrapText="1"/>
    </xf>
    <xf numFmtId="0" fontId="88" fillId="0" borderId="91" xfId="0" applyFont="1" applyBorder="1" applyAlignment="1">
      <alignment horizontal="left" vertical="center"/>
    </xf>
    <xf numFmtId="0" fontId="88" fillId="0" borderId="63" xfId="0" applyFont="1" applyBorder="1" applyAlignment="1">
      <alignment horizontal="left" vertical="center"/>
    </xf>
    <xf numFmtId="0" fontId="89" fillId="0" borderId="91" xfId="0" applyFont="1" applyBorder="1" applyAlignment="1">
      <alignment horizontal="left" vertical="center" wrapText="1"/>
    </xf>
    <xf numFmtId="0" fontId="89" fillId="0" borderId="0" xfId="0" applyFont="1" applyFill="1" applyBorder="1" applyAlignment="1" applyProtection="1">
      <alignment horizontal="left" shrinkToFit="1"/>
      <protection locked="0"/>
    </xf>
    <xf numFmtId="0" fontId="64" fillId="0" borderId="96" xfId="0" applyFont="1" applyFill="1" applyBorder="1" applyAlignment="1" applyProtection="1">
      <alignment shrinkToFit="1"/>
      <protection hidden="1"/>
    </xf>
    <xf numFmtId="0" fontId="157" fillId="0" borderId="93" xfId="0" applyFont="1" applyFill="1" applyBorder="1" applyAlignment="1" applyProtection="1">
      <alignment horizontal="center"/>
      <protection locked="0"/>
    </xf>
    <xf numFmtId="0" fontId="157" fillId="0" borderId="0" xfId="0" applyFont="1" applyFill="1" applyAlignment="1">
      <alignment horizontal="center"/>
    </xf>
    <xf numFmtId="0" fontId="89" fillId="0" borderId="0" xfId="0" applyFont="1" applyFill="1" applyBorder="1" applyAlignment="1" applyProtection="1">
      <alignment horizontal="left" shrinkToFit="1"/>
      <protection/>
    </xf>
    <xf numFmtId="0" fontId="0" fillId="0" borderId="91" xfId="0" applyBorder="1" applyAlignment="1">
      <alignment wrapText="1"/>
    </xf>
    <xf numFmtId="0" fontId="0" fillId="0" borderId="63" xfId="0" applyBorder="1" applyAlignment="1">
      <alignment wrapText="1"/>
    </xf>
    <xf numFmtId="0" fontId="154" fillId="0" borderId="91" xfId="0" applyFont="1" applyBorder="1" applyAlignment="1">
      <alignment horizontal="left" wrapText="1"/>
    </xf>
    <xf numFmtId="0" fontId="89" fillId="0" borderId="91" xfId="0" applyFont="1" applyBorder="1" applyAlignment="1">
      <alignment horizontal="left" wrapText="1"/>
    </xf>
    <xf numFmtId="0" fontId="89" fillId="0" borderId="63" xfId="0" applyFont="1" applyBorder="1" applyAlignment="1">
      <alignment horizontal="left" wrapText="1"/>
    </xf>
    <xf numFmtId="0" fontId="56" fillId="0" borderId="6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150" fillId="0" borderId="92" xfId="0" applyFont="1" applyBorder="1" applyAlignment="1">
      <alignment horizontal="center"/>
    </xf>
    <xf numFmtId="0" fontId="150" fillId="0" borderId="93" xfId="0" applyFont="1" applyBorder="1" applyAlignment="1">
      <alignment horizontal="center"/>
    </xf>
    <xf numFmtId="0" fontId="150" fillId="0" borderId="94" xfId="0" applyFont="1" applyBorder="1" applyAlignment="1">
      <alignment horizontal="center"/>
    </xf>
    <xf numFmtId="0" fontId="98" fillId="0" borderId="61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0" fontId="152" fillId="0" borderId="122" xfId="0" applyFont="1" applyFill="1" applyBorder="1" applyAlignment="1" applyProtection="1">
      <alignment horizontal="left" shrinkToFit="1"/>
      <protection locked="0"/>
    </xf>
    <xf numFmtId="0" fontId="152" fillId="0" borderId="123" xfId="0" applyFont="1" applyFill="1" applyBorder="1" applyAlignment="1" applyProtection="1">
      <alignment horizontal="left" shrinkToFit="1"/>
      <protection locked="0"/>
    </xf>
    <xf numFmtId="0" fontId="89" fillId="0" borderId="89" xfId="0" applyFont="1" applyBorder="1" applyAlignment="1">
      <alignment horizontal="center" vertical="center"/>
    </xf>
    <xf numFmtId="0" fontId="89" fillId="0" borderId="90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/>
    </xf>
    <xf numFmtId="0" fontId="89" fillId="0" borderId="61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62" xfId="0" applyFont="1" applyBorder="1" applyAlignment="1">
      <alignment horizontal="center" vertical="center"/>
    </xf>
    <xf numFmtId="0" fontId="89" fillId="0" borderId="92" xfId="0" applyFont="1" applyBorder="1" applyAlignment="1">
      <alignment horizontal="center" vertical="center"/>
    </xf>
    <xf numFmtId="0" fontId="89" fillId="0" borderId="93" xfId="0" applyFont="1" applyBorder="1" applyAlignment="1">
      <alignment horizontal="center" vertical="center"/>
    </xf>
    <xf numFmtId="0" fontId="89" fillId="0" borderId="94" xfId="0" applyFont="1" applyBorder="1" applyAlignment="1">
      <alignment horizontal="center" vertical="center"/>
    </xf>
    <xf numFmtId="0" fontId="89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9" fillId="17" borderId="61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8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150" fillId="0" borderId="89" xfId="0" applyFont="1" applyBorder="1" applyAlignment="1">
      <alignment horizontal="center"/>
    </xf>
    <xf numFmtId="0" fontId="150" fillId="0" borderId="90" xfId="0" applyFont="1" applyBorder="1" applyAlignment="1">
      <alignment horizontal="center"/>
    </xf>
    <xf numFmtId="0" fontId="150" fillId="0" borderId="99" xfId="0" applyFont="1" applyBorder="1" applyAlignment="1">
      <alignment horizontal="center"/>
    </xf>
    <xf numFmtId="0" fontId="50" fillId="17" borderId="89" xfId="0" applyFont="1" applyFill="1" applyBorder="1" applyAlignment="1" applyProtection="1">
      <alignment shrinkToFit="1"/>
      <protection hidden="1"/>
    </xf>
    <xf numFmtId="0" fontId="50" fillId="17" borderId="90" xfId="0" applyFont="1" applyFill="1" applyBorder="1" applyAlignment="1" applyProtection="1">
      <alignment shrinkToFit="1"/>
      <protection hidden="1"/>
    </xf>
    <xf numFmtId="0" fontId="0" fillId="0" borderId="90" xfId="0" applyBorder="1" applyAlignment="1">
      <alignment shrinkToFit="1"/>
    </xf>
    <xf numFmtId="0" fontId="0" fillId="0" borderId="99" xfId="0" applyBorder="1" applyAlignment="1">
      <alignment shrinkToFit="1"/>
    </xf>
    <xf numFmtId="0" fontId="49" fillId="17" borderId="61" xfId="0" applyFont="1" applyFill="1" applyBorder="1" applyAlignment="1" applyProtection="1">
      <alignment shrinkToFit="1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0" fillId="0" borderId="0" xfId="0" applyBorder="1" applyAlignment="1">
      <alignment shrinkToFit="1"/>
    </xf>
    <xf numFmtId="0" fontId="0" fillId="0" borderId="62" xfId="0" applyBorder="1" applyAlignment="1">
      <alignment shrinkToFit="1"/>
    </xf>
    <xf numFmtId="0" fontId="49" fillId="17" borderId="92" xfId="0" applyFont="1" applyFill="1" applyBorder="1" applyAlignment="1" applyProtection="1">
      <alignment/>
      <protection hidden="1"/>
    </xf>
    <xf numFmtId="0" fontId="49" fillId="17" borderId="93" xfId="0" applyFont="1" applyFill="1" applyBorder="1" applyAlignment="1" applyProtection="1">
      <alignment/>
      <protection hidden="1"/>
    </xf>
    <xf numFmtId="0" fontId="0" fillId="0" borderId="93" xfId="0" applyBorder="1" applyAlignment="1">
      <alignment/>
    </xf>
    <xf numFmtId="165" fontId="64" fillId="17" borderId="62" xfId="0" applyNumberFormat="1" applyFont="1" applyFill="1" applyBorder="1" applyAlignment="1" applyProtection="1">
      <alignment horizontal="left" shrinkToFit="1"/>
      <protection hidden="1"/>
    </xf>
    <xf numFmtId="0" fontId="50" fillId="17" borderId="93" xfId="0" applyNumberFormat="1" applyFont="1" applyFill="1" applyBorder="1" applyAlignment="1" applyProtection="1">
      <alignment horizontal="right" shrinkToFit="1"/>
      <protection hidden="1"/>
    </xf>
    <xf numFmtId="0" fontId="50" fillId="17" borderId="94" xfId="0" applyNumberFormat="1" applyFont="1" applyFill="1" applyBorder="1" applyAlignment="1" applyProtection="1">
      <alignment horizontal="right" shrinkToFit="1"/>
      <protection hidden="1"/>
    </xf>
    <xf numFmtId="49" fontId="64" fillId="17" borderId="61" xfId="0" applyNumberFormat="1" applyFont="1" applyFill="1" applyBorder="1" applyAlignment="1" applyProtection="1">
      <alignment shrinkToFit="1"/>
      <protection hidden="1"/>
    </xf>
    <xf numFmtId="0" fontId="64" fillId="17" borderId="0" xfId="0" applyFont="1" applyFill="1" applyBorder="1" applyAlignment="1" applyProtection="1">
      <alignment shrinkToFit="1"/>
      <protection hidden="1"/>
    </xf>
    <xf numFmtId="0" fontId="50" fillId="17" borderId="11" xfId="0" applyFont="1" applyFill="1" applyBorder="1" applyAlignment="1" applyProtection="1">
      <alignment horizontal="left" vertical="center" wrapText="1"/>
      <protection locked="0"/>
    </xf>
    <xf numFmtId="174" fontId="50" fillId="17" borderId="11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54" xfId="0" applyFont="1" applyBorder="1" applyAlignment="1" applyProtection="1">
      <alignment horizontal="left" vertical="top" wrapText="1"/>
      <protection hidden="1"/>
    </xf>
    <xf numFmtId="0" fontId="50" fillId="0" borderId="11" xfId="0" applyFont="1" applyBorder="1" applyAlignment="1" applyProtection="1">
      <alignment horizontal="center" wrapText="1"/>
      <protection hidden="1"/>
    </xf>
    <xf numFmtId="0" fontId="50" fillId="0" borderId="11" xfId="0" applyFont="1" applyBorder="1" applyAlignment="1" applyProtection="1">
      <alignment horizontal="left" wrapText="1"/>
      <protection hidden="1"/>
    </xf>
    <xf numFmtId="174" fontId="50" fillId="0" borderId="11" xfId="0" applyNumberFormat="1" applyFont="1" applyBorder="1" applyAlignment="1" applyProtection="1">
      <alignment horizontal="right" vertical="center" wrapText="1"/>
      <protection hidden="1"/>
    </xf>
    <xf numFmtId="0" fontId="50" fillId="0" borderId="11" xfId="0" applyFont="1" applyBorder="1" applyAlignment="1" applyProtection="1">
      <alignment horizontal="center" vertical="center" wrapText="1"/>
      <protection hidden="1"/>
    </xf>
    <xf numFmtId="0" fontId="49" fillId="17" borderId="124" xfId="0" applyFont="1" applyFill="1" applyBorder="1" applyAlignment="1" applyProtection="1">
      <alignment horizontal="center"/>
      <protection hidden="1"/>
    </xf>
    <xf numFmtId="0" fontId="49" fillId="17" borderId="125" xfId="0" applyFont="1" applyFill="1" applyBorder="1" applyAlignment="1" applyProtection="1">
      <alignment horizontal="center"/>
      <protection hidden="1"/>
    </xf>
    <xf numFmtId="0" fontId="49" fillId="17" borderId="126" xfId="0" applyFont="1" applyFill="1" applyBorder="1" applyAlignment="1" applyProtection="1">
      <alignment horizontal="center"/>
      <protection hidden="1"/>
    </xf>
    <xf numFmtId="0" fontId="49" fillId="17" borderId="127" xfId="0" applyFont="1" applyFill="1" applyBorder="1" applyAlignment="1" applyProtection="1">
      <alignment horizontal="center"/>
      <protection hidden="1"/>
    </xf>
    <xf numFmtId="0" fontId="49" fillId="17" borderId="128" xfId="0" applyFont="1" applyFill="1" applyBorder="1" applyAlignment="1" applyProtection="1">
      <alignment horizontal="center"/>
      <protection hidden="1"/>
    </xf>
    <xf numFmtId="166" fontId="50" fillId="0" borderId="11" xfId="0" applyNumberFormat="1" applyFont="1" applyBorder="1" applyAlignment="1" applyProtection="1">
      <alignment horizontal="center" vertical="center" wrapText="1"/>
      <protection hidden="1"/>
    </xf>
    <xf numFmtId="0" fontId="105" fillId="0" borderId="0" xfId="0" applyFont="1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117" fillId="0" borderId="0" xfId="0" applyFont="1" applyFill="1" applyBorder="1" applyAlignment="1" applyProtection="1">
      <alignment wrapText="1"/>
      <protection hidden="1"/>
    </xf>
    <xf numFmtId="0" fontId="87" fillId="0" borderId="95" xfId="0" applyFont="1" applyFill="1" applyBorder="1" applyAlignment="1" applyProtection="1">
      <alignment shrinkToFit="1"/>
      <protection locked="0"/>
    </xf>
    <xf numFmtId="0" fontId="22" fillId="0" borderId="91" xfId="0" applyFont="1" applyFill="1" applyBorder="1" applyAlignment="1" applyProtection="1">
      <alignment shrinkToFit="1"/>
      <protection locked="0"/>
    </xf>
    <xf numFmtId="0" fontId="22" fillId="0" borderId="63" xfId="0" applyFont="1" applyFill="1" applyBorder="1" applyAlignment="1" applyProtection="1">
      <alignment shrinkToFit="1"/>
      <protection locked="0"/>
    </xf>
    <xf numFmtId="0" fontId="41" fillId="0" borderId="91" xfId="0" applyFont="1" applyFill="1" applyBorder="1" applyAlignment="1" applyProtection="1">
      <alignment shrinkToFit="1"/>
      <protection locked="0"/>
    </xf>
    <xf numFmtId="0" fontId="41" fillId="0" borderId="63" xfId="0" applyFont="1" applyFill="1" applyBorder="1" applyAlignment="1" applyProtection="1">
      <alignment shrinkToFit="1"/>
      <protection locked="0"/>
    </xf>
    <xf numFmtId="0" fontId="50" fillId="0" borderId="56" xfId="0" applyFont="1" applyFill="1" applyBorder="1" applyAlignment="1" applyProtection="1">
      <alignment horizontal="left" shrinkToFit="1"/>
      <protection hidden="1"/>
    </xf>
    <xf numFmtId="0" fontId="49" fillId="0" borderId="56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8" fillId="0" borderId="0" xfId="0" applyFont="1" applyFill="1" applyAlignment="1" applyProtection="1">
      <alignment wrapText="1"/>
      <protection hidden="1"/>
    </xf>
    <xf numFmtId="0" fontId="69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Fill="1" applyBorder="1" applyAlignment="1" applyProtection="1">
      <alignment horizontal="center" shrinkToFit="1"/>
      <protection hidden="1"/>
    </xf>
    <xf numFmtId="178" fontId="70" fillId="0" borderId="95" xfId="0" applyNumberFormat="1" applyFont="1" applyFill="1" applyBorder="1" applyAlignment="1" applyProtection="1">
      <alignment vertical="center" shrinkToFit="1"/>
      <protection hidden="1"/>
    </xf>
    <xf numFmtId="178" fontId="116" fillId="0" borderId="91" xfId="0" applyNumberFormat="1" applyFont="1" applyFill="1" applyBorder="1" applyAlignment="1" applyProtection="1">
      <alignment vertical="center" shrinkToFit="1"/>
      <protection hidden="1"/>
    </xf>
    <xf numFmtId="0" fontId="84" fillId="0" borderId="95" xfId="0" applyFont="1" applyFill="1" applyBorder="1" applyAlignment="1" applyProtection="1">
      <alignment shrinkToFit="1"/>
      <protection locked="0"/>
    </xf>
    <xf numFmtId="0" fontId="25" fillId="0" borderId="91" xfId="0" applyFont="1" applyFill="1" applyBorder="1" applyAlignment="1" applyProtection="1">
      <alignment shrinkToFit="1"/>
      <protection locked="0"/>
    </xf>
    <xf numFmtId="0" fontId="25" fillId="0" borderId="63" xfId="0" applyFont="1" applyFill="1" applyBorder="1" applyAlignment="1" applyProtection="1">
      <alignment shrinkToFit="1"/>
      <protection locked="0"/>
    </xf>
    <xf numFmtId="0" fontId="50" fillId="0" borderId="0" xfId="0" applyFont="1" applyFill="1" applyBorder="1" applyAlignment="1" applyProtection="1">
      <alignment horizontal="left" shrinkToFit="1"/>
      <protection hidden="1"/>
    </xf>
    <xf numFmtId="0" fontId="24" fillId="0" borderId="0" xfId="43" applyFont="1" applyFill="1" applyBorder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hidden="1"/>
    </xf>
    <xf numFmtId="0" fontId="65" fillId="0" borderId="0" xfId="0" applyFont="1" applyFill="1" applyBorder="1" applyAlignment="1" applyProtection="1">
      <alignment horizontal="left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64" fillId="0" borderId="0" xfId="0" applyNumberFormat="1" applyFont="1" applyFill="1" applyBorder="1" applyAlignment="1" applyProtection="1">
      <alignment horizontal="left" shrinkToFit="1"/>
      <protection hidden="1"/>
    </xf>
    <xf numFmtId="49" fontId="64" fillId="0" borderId="0" xfId="0" applyNumberFormat="1" applyFont="1" applyFill="1" applyBorder="1" applyAlignment="1" applyProtection="1">
      <alignment horizontal="left" vertical="center" shrinkToFit="1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73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64" fillId="0" borderId="0" xfId="0" applyNumberFormat="1" applyFont="1" applyFill="1" applyBorder="1" applyAlignment="1" applyProtection="1">
      <alignment horizontal="center" shrinkToFit="1"/>
      <protection hidden="1"/>
    </xf>
    <xf numFmtId="0" fontId="48" fillId="0" borderId="0" xfId="0" applyFont="1" applyFill="1" applyBorder="1" applyAlignment="1" applyProtection="1">
      <alignment shrinkToFit="1"/>
      <protection hidden="1"/>
    </xf>
    <xf numFmtId="49" fontId="5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1" fontId="62" fillId="0" borderId="0" xfId="0" applyNumberFormat="1" applyFont="1" applyFill="1" applyBorder="1" applyAlignment="1" applyProtection="1">
      <alignment horizontal="center" shrinkToFit="1"/>
      <protection hidden="1"/>
    </xf>
    <xf numFmtId="0" fontId="54" fillId="0" borderId="124" xfId="0" applyFont="1" applyFill="1" applyBorder="1" applyAlignment="1" applyProtection="1">
      <alignment horizontal="center"/>
      <protection hidden="1"/>
    </xf>
    <xf numFmtId="0" fontId="54" fillId="0" borderId="47" xfId="0" applyFont="1" applyFill="1" applyBorder="1" applyAlignment="1" applyProtection="1">
      <alignment horizontal="center"/>
      <protection hidden="1"/>
    </xf>
    <xf numFmtId="0" fontId="54" fillId="0" borderId="125" xfId="0" applyFont="1" applyFill="1" applyBorder="1" applyAlignment="1" applyProtection="1">
      <alignment horizontal="center"/>
      <protection hidden="1"/>
    </xf>
    <xf numFmtId="0" fontId="115" fillId="0" borderId="89" xfId="0" applyFont="1" applyFill="1" applyBorder="1" applyAlignment="1" applyProtection="1">
      <alignment horizontal="center" shrinkToFit="1"/>
      <protection hidden="1"/>
    </xf>
    <xf numFmtId="0" fontId="115" fillId="0" borderId="90" xfId="0" applyFont="1" applyFill="1" applyBorder="1" applyAlignment="1" applyProtection="1">
      <alignment horizontal="center" shrinkToFit="1"/>
      <protection hidden="1"/>
    </xf>
    <xf numFmtId="0" fontId="115" fillId="0" borderId="99" xfId="0" applyFont="1" applyFill="1" applyBorder="1" applyAlignment="1" applyProtection="1">
      <alignment horizontal="center" shrinkToFit="1"/>
      <protection hidden="1"/>
    </xf>
    <xf numFmtId="0" fontId="52" fillId="0" borderId="61" xfId="0" applyFont="1" applyFill="1" applyBorder="1" applyAlignment="1" applyProtection="1">
      <alignment horizontal="center" shrinkToFit="1"/>
      <protection hidden="1"/>
    </xf>
    <xf numFmtId="0" fontId="52" fillId="0" borderId="0" xfId="0" applyFont="1" applyFill="1" applyBorder="1" applyAlignment="1" applyProtection="1">
      <alignment horizontal="center" shrinkToFit="1"/>
      <protection hidden="1"/>
    </xf>
    <xf numFmtId="0" fontId="52" fillId="0" borderId="62" xfId="0" applyFont="1" applyFill="1" applyBorder="1" applyAlignment="1" applyProtection="1">
      <alignment horizontal="center" shrinkToFit="1"/>
      <protection hidden="1"/>
    </xf>
    <xf numFmtId="0" fontId="54" fillId="0" borderId="0" xfId="0" applyFont="1" applyFill="1" applyBorder="1" applyAlignment="1" applyProtection="1">
      <alignment horizontal="left" shrinkToFit="1"/>
      <protection hidden="1"/>
    </xf>
    <xf numFmtId="3" fontId="54" fillId="0" borderId="0" xfId="0" applyNumberFormat="1" applyFont="1" applyFill="1" applyBorder="1" applyAlignment="1" applyProtection="1">
      <alignment horizontal="center" shrinkToFit="1"/>
      <protection hidden="1"/>
    </xf>
    <xf numFmtId="0" fontId="56" fillId="0" borderId="126" xfId="0" applyFont="1" applyFill="1" applyBorder="1" applyAlignment="1" applyProtection="1">
      <alignment horizontal="center" shrinkToFit="1"/>
      <protection hidden="1"/>
    </xf>
    <xf numFmtId="0" fontId="56" fillId="0" borderId="127" xfId="0" applyFont="1" applyFill="1" applyBorder="1" applyAlignment="1" applyProtection="1">
      <alignment horizontal="center" shrinkToFit="1"/>
      <protection hidden="1"/>
    </xf>
    <xf numFmtId="0" fontId="56" fillId="0" borderId="128" xfId="0" applyFont="1" applyFill="1" applyBorder="1" applyAlignment="1" applyProtection="1">
      <alignment horizontal="center" shrinkToFit="1"/>
      <protection hidden="1"/>
    </xf>
    <xf numFmtId="0" fontId="58" fillId="0" borderId="0" xfId="0" applyFont="1" applyFill="1" applyBorder="1" applyAlignment="1" applyProtection="1">
      <alignment horizontal="left"/>
      <protection hidden="1"/>
    </xf>
    <xf numFmtId="0" fontId="22" fillId="23" borderId="46" xfId="0" applyFont="1" applyFill="1" applyBorder="1" applyAlignment="1" applyProtection="1">
      <alignment horizontal="left" shrinkToFit="1"/>
      <protection hidden="1"/>
    </xf>
    <xf numFmtId="0" fontId="22" fillId="23" borderId="46" xfId="0" applyFont="1" applyFill="1" applyBorder="1" applyAlignment="1" applyProtection="1">
      <alignment horizontal="left"/>
      <protection hidden="1"/>
    </xf>
    <xf numFmtId="0" fontId="23" fillId="23" borderId="0" xfId="0" applyFont="1" applyFill="1" applyBorder="1" applyAlignment="1" applyProtection="1">
      <alignment horizontal="left"/>
      <protection hidden="1"/>
    </xf>
    <xf numFmtId="0" fontId="22" fillId="23" borderId="46" xfId="0" applyFont="1" applyFill="1" applyBorder="1" applyAlignment="1" applyProtection="1">
      <alignment horizontal="left" wrapText="1" shrinkToFit="1"/>
      <protection hidden="1"/>
    </xf>
    <xf numFmtId="49" fontId="0" fillId="30" borderId="11" xfId="0" applyNumberFormat="1" applyFill="1" applyBorder="1" applyAlignment="1" applyProtection="1">
      <alignment horizontal="center"/>
      <protection hidden="1"/>
    </xf>
    <xf numFmtId="0" fontId="0" fillId="23" borderId="0" xfId="0" applyFont="1" applyFill="1" applyBorder="1" applyAlignment="1" applyProtection="1">
      <alignment horizontal="center"/>
      <protection hidden="1"/>
    </xf>
    <xf numFmtId="0" fontId="36" fillId="23" borderId="0" xfId="0" applyFont="1" applyFill="1" applyBorder="1" applyAlignment="1" applyProtection="1">
      <alignment horizontal="left" wrapText="1"/>
      <protection hidden="1"/>
    </xf>
    <xf numFmtId="0" fontId="36" fillId="23" borderId="0" xfId="0" applyFont="1" applyFill="1" applyBorder="1" applyAlignment="1" applyProtection="1">
      <alignment horizontal="center" wrapText="1"/>
      <protection hidden="1"/>
    </xf>
    <xf numFmtId="0" fontId="37" fillId="23" borderId="0" xfId="0" applyFont="1" applyFill="1" applyBorder="1" applyAlignment="1" applyProtection="1">
      <alignment horizontal="center"/>
      <protection hidden="1"/>
    </xf>
    <xf numFmtId="49" fontId="0" fillId="30" borderId="11" xfId="0" applyNumberFormat="1" applyFont="1" applyFill="1" applyBorder="1" applyAlignment="1" applyProtection="1">
      <alignment horizontal="center"/>
      <protection hidden="1"/>
    </xf>
    <xf numFmtId="164" fontId="14" fillId="30" borderId="77" xfId="56" applyNumberFormat="1" applyFont="1" applyFill="1" applyBorder="1" applyAlignment="1" applyProtection="1">
      <alignment horizontal="left"/>
      <protection hidden="1"/>
    </xf>
    <xf numFmtId="164" fontId="14" fillId="30" borderId="78" xfId="56" applyNumberFormat="1" applyFont="1" applyFill="1" applyBorder="1" applyAlignment="1" applyProtection="1">
      <alignment horizontal="left"/>
      <protection hidden="1"/>
    </xf>
    <xf numFmtId="0" fontId="21" fillId="23" borderId="0" xfId="56" applyFont="1" applyFill="1" applyBorder="1" applyAlignment="1" applyProtection="1">
      <alignment horizontal="left"/>
      <protection hidden="1"/>
    </xf>
    <xf numFmtId="0" fontId="14" fillId="30" borderId="81" xfId="56" applyFont="1" applyFill="1" applyBorder="1" applyAlignment="1" applyProtection="1">
      <alignment horizontal="left"/>
      <protection hidden="1"/>
    </xf>
    <xf numFmtId="0" fontId="14" fillId="30" borderId="60" xfId="56" applyFont="1" applyFill="1" applyBorder="1" applyAlignment="1" applyProtection="1">
      <alignment horizontal="left"/>
      <protection hidden="1"/>
    </xf>
    <xf numFmtId="0" fontId="14" fillId="30" borderId="82" xfId="56" applyFont="1" applyFill="1" applyBorder="1" applyAlignment="1" applyProtection="1">
      <alignment horizontal="left"/>
      <protection hidden="1"/>
    </xf>
    <xf numFmtId="0" fontId="21" fillId="32" borderId="45" xfId="56" applyFont="1" applyFill="1" applyBorder="1" applyAlignment="1" applyProtection="1">
      <alignment horizontal="left"/>
      <protection hidden="1"/>
    </xf>
    <xf numFmtId="0" fontId="22" fillId="32" borderId="17" xfId="0" applyFont="1" applyFill="1" applyBorder="1" applyAlignment="1" applyProtection="1">
      <alignment horizontal="center" vertical="center" textRotation="90" wrapText="1"/>
      <protection hidden="1"/>
    </xf>
    <xf numFmtId="0" fontId="14" fillId="30" borderId="76" xfId="56" applyFont="1" applyFill="1" applyBorder="1" applyAlignment="1" applyProtection="1">
      <alignment horizontal="left"/>
      <protection hidden="1"/>
    </xf>
    <xf numFmtId="0" fontId="14" fillId="30" borderId="77" xfId="56" applyFont="1" applyFill="1" applyBorder="1" applyAlignment="1" applyProtection="1">
      <alignment horizontal="left"/>
      <protection hidden="1"/>
    </xf>
    <xf numFmtId="0" fontId="0" fillId="30" borderId="60" xfId="57" applyFont="1" applyFill="1" applyBorder="1" applyAlignment="1" applyProtection="1">
      <alignment horizontal="center"/>
      <protection hidden="1"/>
    </xf>
    <xf numFmtId="0" fontId="14" fillId="30" borderId="60" xfId="56" applyFont="1" applyFill="1" applyBorder="1" applyAlignment="1" applyProtection="1">
      <alignment horizontal="center"/>
      <protection hidden="1"/>
    </xf>
    <xf numFmtId="0" fontId="0" fillId="23" borderId="0" xfId="0" applyFont="1" applyFill="1" applyBorder="1" applyAlignment="1" applyProtection="1">
      <alignment horizontal="right"/>
      <protection hidden="1"/>
    </xf>
    <xf numFmtId="49" fontId="0" fillId="23" borderId="11" xfId="0" applyNumberFormat="1" applyFont="1" applyFill="1" applyBorder="1" applyAlignment="1" applyProtection="1">
      <alignment horizontal="center"/>
      <protection hidden="1"/>
    </xf>
    <xf numFmtId="0" fontId="24" fillId="23" borderId="0" xfId="43" applyNumberFormat="1" applyFont="1" applyFill="1" applyBorder="1" applyAlignment="1" applyProtection="1">
      <alignment/>
      <protection hidden="1"/>
    </xf>
    <xf numFmtId="165" fontId="14" fillId="30" borderId="60" xfId="0" applyNumberFormat="1" applyFont="1" applyFill="1" applyBorder="1" applyAlignment="1" applyProtection="1">
      <alignment horizontal="left" shrinkToFit="1"/>
      <protection hidden="1"/>
    </xf>
    <xf numFmtId="0" fontId="14" fillId="30" borderId="95" xfId="56" applyFont="1" applyFill="1" applyBorder="1" applyAlignment="1" applyProtection="1">
      <alignment horizontal="center"/>
      <protection hidden="1"/>
    </xf>
    <xf numFmtId="0" fontId="14" fillId="30" borderId="91" xfId="56" applyFont="1" applyFill="1" applyBorder="1" applyAlignment="1" applyProtection="1">
      <alignment horizontal="center"/>
      <protection hidden="1"/>
    </xf>
    <xf numFmtId="0" fontId="14" fillId="30" borderId="63" xfId="56" applyFont="1" applyFill="1" applyBorder="1" applyAlignment="1" applyProtection="1">
      <alignment horizontal="center"/>
      <protection hidden="1"/>
    </xf>
    <xf numFmtId="0" fontId="14" fillId="30" borderId="129" xfId="56" applyFont="1" applyFill="1" applyBorder="1" applyAlignment="1" applyProtection="1">
      <alignment horizontal="center"/>
      <protection hidden="1"/>
    </xf>
    <xf numFmtId="0" fontId="14" fillId="30" borderId="67" xfId="56" applyFont="1" applyFill="1" applyBorder="1" applyAlignment="1" applyProtection="1">
      <alignment horizontal="left" shrinkToFit="1"/>
      <protection hidden="1"/>
    </xf>
    <xf numFmtId="0" fontId="33" fillId="23" borderId="0" xfId="0" applyFont="1" applyFill="1" applyBorder="1" applyAlignment="1" applyProtection="1">
      <alignment horizontal="right"/>
      <protection hidden="1"/>
    </xf>
    <xf numFmtId="0" fontId="31" fillId="23" borderId="0" xfId="0" applyFont="1" applyFill="1" applyBorder="1" applyAlignment="1" applyProtection="1">
      <alignment horizontal="left"/>
      <protection hidden="1"/>
    </xf>
    <xf numFmtId="0" fontId="14" fillId="23" borderId="0" xfId="56" applyFill="1" applyBorder="1" applyAlignment="1" applyProtection="1">
      <alignment horizontal="center"/>
      <protection hidden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IP2002" xfId="56"/>
    <cellStyle name="Normál_PásztBes2002anal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ksh.hu/pls/portal/vb.teaor_main.gszr_main2?tsz=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ksh.hu/pls/portal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65536">
      <selection activeCell="A1" sqref="A1:IV16384"/>
    </sheetView>
  </sheetViews>
  <sheetFormatPr defaultColWidth="9.140625" defaultRowHeight="12.75" zeroHeight="1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1173" t="str">
        <f>K26</f>
        <v>www.iparuzes.hu                   .</v>
      </c>
      <c r="B1" s="1173"/>
      <c r="C1" s="1173"/>
      <c r="D1" s="1173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1173"/>
      <c r="B2" s="1173"/>
      <c r="C2" s="1173"/>
      <c r="D2" s="1173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 hidden="1">
      <c r="E3" s="3" t="s">
        <v>503</v>
      </c>
      <c r="AM3" s="1">
        <f>IF(K30="SIKERES REGISZTRÁCIÓ",99,0)</f>
        <v>99</v>
      </c>
    </row>
    <row r="4" ht="12.75" hidden="1"/>
    <row r="5" spans="5:19" ht="12.75" hidden="1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</row>
    <row r="6" spans="4:24" ht="21" customHeight="1" hidden="1">
      <c r="D6" s="1" t="s">
        <v>504</v>
      </c>
      <c r="E6" s="565">
        <v>7</v>
      </c>
      <c r="F6" s="565">
        <v>35</v>
      </c>
      <c r="G6" s="565">
        <v>40</v>
      </c>
      <c r="H6" s="565">
        <v>7</v>
      </c>
      <c r="I6" s="565">
        <v>80</v>
      </c>
      <c r="J6" s="565">
        <v>7</v>
      </c>
      <c r="K6" s="565">
        <v>3</v>
      </c>
      <c r="L6" s="565">
        <v>10</v>
      </c>
      <c r="M6" s="565">
        <v>181</v>
      </c>
      <c r="N6" s="565">
        <v>7</v>
      </c>
      <c r="O6" s="565">
        <v>2</v>
      </c>
      <c r="P6" s="565">
        <v>187</v>
      </c>
      <c r="Q6" s="565">
        <v>21</v>
      </c>
      <c r="R6" s="565">
        <v>178</v>
      </c>
      <c r="S6" s="565">
        <v>69</v>
      </c>
      <c r="T6" s="4"/>
      <c r="X6" s="4" t="s">
        <v>505</v>
      </c>
    </row>
    <row r="7" spans="4:19" ht="21" customHeight="1" hidden="1">
      <c r="D7" s="1" t="s">
        <v>506</v>
      </c>
      <c r="E7" s="565">
        <v>177</v>
      </c>
      <c r="F7" s="565">
        <v>7</v>
      </c>
      <c r="G7" s="565">
        <v>32</v>
      </c>
      <c r="H7" s="565">
        <v>78</v>
      </c>
      <c r="I7" s="565">
        <v>7</v>
      </c>
      <c r="J7" s="565">
        <v>102</v>
      </c>
      <c r="K7" s="565">
        <v>178</v>
      </c>
      <c r="L7" s="565">
        <v>50</v>
      </c>
      <c r="M7" s="565">
        <v>147</v>
      </c>
      <c r="N7" s="565">
        <v>7</v>
      </c>
      <c r="O7" s="565">
        <v>7</v>
      </c>
      <c r="P7" s="565">
        <v>97</v>
      </c>
      <c r="Q7" s="565">
        <v>7</v>
      </c>
      <c r="R7" s="565">
        <v>86</v>
      </c>
      <c r="S7" s="565">
        <v>173</v>
      </c>
    </row>
    <row r="8" spans="4:19" ht="21" customHeight="1" hidden="1">
      <c r="D8" s="1" t="s">
        <v>507</v>
      </c>
      <c r="E8" s="565">
        <v>178</v>
      </c>
      <c r="F8" s="565">
        <v>7</v>
      </c>
      <c r="G8" s="565">
        <v>79</v>
      </c>
      <c r="H8" s="565">
        <v>7</v>
      </c>
      <c r="I8" s="565">
        <v>46</v>
      </c>
      <c r="J8" s="565">
        <v>7</v>
      </c>
      <c r="K8" s="565">
        <v>42</v>
      </c>
      <c r="L8" s="565">
        <v>177</v>
      </c>
      <c r="M8" s="565">
        <v>22</v>
      </c>
      <c r="N8" s="565">
        <v>7</v>
      </c>
      <c r="O8" s="565">
        <v>163</v>
      </c>
      <c r="P8" s="565">
        <v>52</v>
      </c>
      <c r="Q8" s="565">
        <v>7</v>
      </c>
      <c r="R8" s="565">
        <v>22</v>
      </c>
      <c r="S8" s="565">
        <v>7</v>
      </c>
    </row>
    <row r="9" spans="4:19" ht="21" customHeight="1" hidden="1">
      <c r="D9" s="1" t="s">
        <v>508</v>
      </c>
      <c r="E9" s="565">
        <v>7</v>
      </c>
      <c r="F9" s="565">
        <v>35</v>
      </c>
      <c r="G9" s="565">
        <v>7</v>
      </c>
      <c r="H9" s="565">
        <v>7</v>
      </c>
      <c r="I9" s="565">
        <v>85</v>
      </c>
      <c r="J9" s="565">
        <v>151</v>
      </c>
      <c r="K9" s="565">
        <v>39</v>
      </c>
      <c r="L9" s="565">
        <v>57</v>
      </c>
      <c r="M9" s="565">
        <v>7</v>
      </c>
      <c r="N9" s="565">
        <v>7</v>
      </c>
      <c r="O9" s="565">
        <v>25</v>
      </c>
      <c r="P9" s="565">
        <v>7</v>
      </c>
      <c r="Q9" s="565">
        <v>197</v>
      </c>
      <c r="R9" s="565">
        <v>145</v>
      </c>
      <c r="S9" s="565">
        <v>95</v>
      </c>
    </row>
    <row r="10" ht="12.75" hidden="1"/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178</v>
      </c>
      <c r="F14" s="1">
        <f>K7</f>
        <v>178</v>
      </c>
      <c r="G14" s="1">
        <f>R6</f>
        <v>178</v>
      </c>
      <c r="H14" s="1">
        <f>G7</f>
        <v>32</v>
      </c>
      <c r="I14" s="1">
        <f>O8</f>
        <v>163</v>
      </c>
      <c r="J14" s="1">
        <f>L8</f>
        <v>177</v>
      </c>
      <c r="K14" s="1">
        <f>M7</f>
        <v>147</v>
      </c>
      <c r="L14" s="1">
        <f>M6</f>
        <v>181</v>
      </c>
      <c r="M14" s="1">
        <f>P6</f>
        <v>187</v>
      </c>
      <c r="N14" s="1">
        <f>Q9</f>
        <v>197</v>
      </c>
      <c r="O14" s="1">
        <f>R9</f>
        <v>145</v>
      </c>
      <c r="P14" s="1">
        <f>S7</f>
        <v>173</v>
      </c>
      <c r="Q14" s="1">
        <f>F6</f>
        <v>35</v>
      </c>
      <c r="R14" s="1">
        <f>J9</f>
        <v>151</v>
      </c>
      <c r="S14" s="1">
        <f>E7</f>
        <v>177</v>
      </c>
      <c r="T14" s="1">
        <f>E9</f>
        <v>7</v>
      </c>
      <c r="U14" s="1">
        <f>G9</f>
        <v>7</v>
      </c>
      <c r="V14" s="1">
        <f>O7</f>
        <v>7</v>
      </c>
      <c r="W14" s="1">
        <f>Q7</f>
        <v>7</v>
      </c>
      <c r="X14" s="1">
        <f>P9</f>
        <v>7</v>
      </c>
      <c r="Y14" s="1">
        <f>H8</f>
        <v>7</v>
      </c>
      <c r="Z14" s="1">
        <f>I7</f>
        <v>7</v>
      </c>
      <c r="AA14" s="1">
        <f>M9</f>
        <v>7</v>
      </c>
      <c r="AB14" s="1">
        <f>Q8</f>
        <v>7</v>
      </c>
      <c r="AC14" s="1">
        <f>S8</f>
        <v>7</v>
      </c>
      <c r="AD14" s="1">
        <f>F8</f>
        <v>7</v>
      </c>
      <c r="AE14" s="1">
        <f>N8</f>
        <v>7</v>
      </c>
      <c r="AF14" s="1">
        <f>N7</f>
        <v>7</v>
      </c>
      <c r="AG14" s="1">
        <f>J8</f>
        <v>7</v>
      </c>
      <c r="AH14" s="1">
        <f>H9</f>
        <v>7</v>
      </c>
      <c r="AI14" s="1">
        <f>F7</f>
        <v>7</v>
      </c>
      <c r="AJ14" s="1">
        <f>N9</f>
        <v>7</v>
      </c>
      <c r="AK14" s="1">
        <f>N6</f>
        <v>7</v>
      </c>
      <c r="AL14" s="1">
        <f>E6</f>
        <v>7</v>
      </c>
      <c r="AM14" s="1">
        <f>F9</f>
        <v>35</v>
      </c>
      <c r="AN14" s="1">
        <f>G9</f>
        <v>7</v>
      </c>
      <c r="AO14" s="1">
        <f>H9</f>
        <v>7</v>
      </c>
    </row>
    <row r="15" spans="5:42" ht="12.75" hidden="1">
      <c r="E15" s="1">
        <f>(E14+60)/2</f>
        <v>119</v>
      </c>
      <c r="F15" s="1">
        <f>(F14+60)/2</f>
        <v>119</v>
      </c>
      <c r="G15" s="1">
        <f>(G14+60)/2</f>
        <v>119</v>
      </c>
      <c r="H15" s="1">
        <f>(H14+60)/2</f>
        <v>46</v>
      </c>
      <c r="I15" s="1">
        <f aca="true" t="shared" si="0" ref="I15:N15">(I14+47)/2</f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aca="true" t="shared" si="1" ref="O15:AP15">(O14+57)/2</f>
        <v>101</v>
      </c>
      <c r="P15" s="1">
        <f t="shared" si="1"/>
        <v>115</v>
      </c>
      <c r="Q15" s="1">
        <f t="shared" si="1"/>
        <v>46</v>
      </c>
      <c r="R15" s="1">
        <f t="shared" si="1"/>
        <v>104</v>
      </c>
      <c r="S15" s="1">
        <f t="shared" si="1"/>
        <v>117</v>
      </c>
      <c r="T15" s="1">
        <f t="shared" si="1"/>
        <v>32</v>
      </c>
      <c r="U15" s="1">
        <f t="shared" si="1"/>
        <v>32</v>
      </c>
      <c r="V15" s="1">
        <f t="shared" si="1"/>
        <v>32</v>
      </c>
      <c r="W15" s="1">
        <f t="shared" si="1"/>
        <v>32</v>
      </c>
      <c r="X15" s="1">
        <f t="shared" si="1"/>
        <v>32</v>
      </c>
      <c r="Y15" s="1">
        <f t="shared" si="1"/>
        <v>32</v>
      </c>
      <c r="Z15" s="1">
        <f t="shared" si="1"/>
        <v>32</v>
      </c>
      <c r="AA15" s="1">
        <f t="shared" si="1"/>
        <v>32</v>
      </c>
      <c r="AB15" s="1">
        <f t="shared" si="1"/>
        <v>32</v>
      </c>
      <c r="AC15" s="1">
        <f t="shared" si="1"/>
        <v>32</v>
      </c>
      <c r="AD15" s="1">
        <f t="shared" si="1"/>
        <v>32</v>
      </c>
      <c r="AE15" s="1">
        <f t="shared" si="1"/>
        <v>32</v>
      </c>
      <c r="AF15" s="1">
        <f t="shared" si="1"/>
        <v>32</v>
      </c>
      <c r="AG15" s="1">
        <f t="shared" si="1"/>
        <v>32</v>
      </c>
      <c r="AH15" s="1">
        <f t="shared" si="1"/>
        <v>32</v>
      </c>
      <c r="AI15" s="1">
        <f t="shared" si="1"/>
        <v>32</v>
      </c>
      <c r="AJ15" s="1">
        <f t="shared" si="1"/>
        <v>32</v>
      </c>
      <c r="AK15" s="1">
        <f t="shared" si="1"/>
        <v>32</v>
      </c>
      <c r="AL15" s="1">
        <f t="shared" si="1"/>
        <v>32</v>
      </c>
      <c r="AM15" s="1">
        <f t="shared" si="1"/>
        <v>46</v>
      </c>
      <c r="AN15" s="1">
        <f t="shared" si="1"/>
        <v>32</v>
      </c>
      <c r="AO15" s="1">
        <f t="shared" si="1"/>
        <v>32</v>
      </c>
      <c r="AP15" s="1">
        <f t="shared" si="1"/>
        <v>28.5</v>
      </c>
    </row>
    <row r="16" spans="5:41" ht="12.75" hidden="1">
      <c r="E16" s="1" t="str">
        <f>CHAR(E15)</f>
        <v>w</v>
      </c>
      <c r="F16" s="1" t="str">
        <f aca="true" t="shared" si="2" ref="F16:AM16">CHAR(F15)</f>
        <v>w</v>
      </c>
      <c r="G16" s="1" t="str">
        <f t="shared" si="2"/>
        <v>w</v>
      </c>
      <c r="H16" s="1" t="str">
        <f t="shared" si="2"/>
        <v>.</v>
      </c>
      <c r="I16" s="1" t="str">
        <f t="shared" si="2"/>
        <v>i</v>
      </c>
      <c r="J16" s="1" t="str">
        <f t="shared" si="2"/>
        <v>p</v>
      </c>
      <c r="K16" s="1" t="str">
        <f t="shared" si="2"/>
        <v>a</v>
      </c>
      <c r="L16" s="1" t="str">
        <f t="shared" si="2"/>
        <v>r</v>
      </c>
      <c r="M16" s="1" t="str">
        <f t="shared" si="2"/>
        <v>u</v>
      </c>
      <c r="N16" s="1" t="str">
        <f t="shared" si="2"/>
        <v>z</v>
      </c>
      <c r="O16" s="1" t="str">
        <f t="shared" si="2"/>
        <v>e</v>
      </c>
      <c r="P16" s="1" t="str">
        <f t="shared" si="2"/>
        <v>s</v>
      </c>
      <c r="Q16" s="1" t="str">
        <f t="shared" si="2"/>
        <v>.</v>
      </c>
      <c r="R16" s="1" t="str">
        <f t="shared" si="2"/>
        <v>h</v>
      </c>
      <c r="S16" s="1" t="str">
        <f t="shared" si="2"/>
        <v>u</v>
      </c>
      <c r="T16" s="1" t="str">
        <f t="shared" si="2"/>
        <v> </v>
      </c>
      <c r="U16" s="1" t="str">
        <f t="shared" si="2"/>
        <v> </v>
      </c>
      <c r="V16" s="1" t="str">
        <f t="shared" si="2"/>
        <v> </v>
      </c>
      <c r="W16" s="1" t="str">
        <f t="shared" si="2"/>
        <v> </v>
      </c>
      <c r="X16" s="1" t="str">
        <f t="shared" si="2"/>
        <v> </v>
      </c>
      <c r="Y16" s="1" t="str">
        <f t="shared" si="2"/>
        <v> </v>
      </c>
      <c r="Z16" s="1" t="str">
        <f t="shared" si="2"/>
        <v> </v>
      </c>
      <c r="AA16" s="1" t="str">
        <f t="shared" si="2"/>
        <v> </v>
      </c>
      <c r="AB16" s="1" t="str">
        <f t="shared" si="2"/>
        <v> </v>
      </c>
      <c r="AC16" s="1" t="str">
        <f t="shared" si="2"/>
        <v> </v>
      </c>
      <c r="AD16" s="1" t="str">
        <f t="shared" si="2"/>
        <v> </v>
      </c>
      <c r="AE16" s="1" t="str">
        <f t="shared" si="2"/>
        <v> </v>
      </c>
      <c r="AF16" s="1" t="str">
        <f t="shared" si="2"/>
        <v> </v>
      </c>
      <c r="AG16" s="1" t="str">
        <f t="shared" si="2"/>
        <v> </v>
      </c>
      <c r="AH16" s="1" t="str">
        <f t="shared" si="2"/>
        <v> </v>
      </c>
      <c r="AI16" s="1" t="str">
        <f t="shared" si="2"/>
        <v> </v>
      </c>
      <c r="AJ16" s="1" t="str">
        <f t="shared" si="2"/>
        <v> </v>
      </c>
      <c r="AK16" s="1" t="str">
        <f t="shared" si="2"/>
        <v> </v>
      </c>
      <c r="AL16" s="1" t="str">
        <f t="shared" si="2"/>
        <v> </v>
      </c>
      <c r="AM16" s="1" t="str">
        <f t="shared" si="2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 hidden="1">
      <c r="E26" s="6" t="s">
        <v>509</v>
      </c>
      <c r="K26" s="1174" t="str">
        <f>IF(E11=243,E23,"DEMÓ FELHASZNÁLÓ. KÉREM, REGISZTRÁLJA!")</f>
        <v>www.iparuzes.hu                   .</v>
      </c>
      <c r="L26" s="1174"/>
      <c r="M26" s="1174"/>
      <c r="N26" s="1174"/>
      <c r="O26" s="1174"/>
      <c r="P26" s="1174"/>
      <c r="Q26" s="1174"/>
      <c r="R26" s="1174"/>
      <c r="S26" s="1174"/>
      <c r="T26" s="1174"/>
      <c r="U26" s="1174"/>
      <c r="V26" s="1174"/>
      <c r="W26" s="1174"/>
      <c r="X26" s="1174"/>
      <c r="Y26" s="1174"/>
      <c r="Z26" s="1174"/>
      <c r="AA26" s="1174"/>
      <c r="AB26" s="1174"/>
      <c r="AC26" s="1174"/>
      <c r="AD26" s="1174"/>
      <c r="AE26" s="1174"/>
      <c r="AF26" s="1174"/>
      <c r="AG26" s="1174"/>
      <c r="AH26" s="1174"/>
      <c r="AI26" s="1174"/>
    </row>
    <row r="27" spans="11:35" ht="12.75" hidden="1">
      <c r="K27" s="1175" t="s">
        <v>844</v>
      </c>
      <c r="L27" s="1176"/>
      <c r="M27" s="1176"/>
      <c r="N27" s="1176"/>
      <c r="O27" s="1176"/>
      <c r="P27" s="1176"/>
      <c r="Q27" s="1176"/>
      <c r="R27" s="1176"/>
      <c r="S27" s="1176"/>
      <c r="T27" s="1176"/>
      <c r="U27" s="1176"/>
      <c r="V27" s="1176"/>
      <c r="W27" s="1176"/>
      <c r="X27" s="1176"/>
      <c r="Y27" s="1176"/>
      <c r="Z27" s="1176"/>
      <c r="AA27" s="1176"/>
      <c r="AB27" s="1176"/>
      <c r="AC27" s="1176"/>
      <c r="AD27" s="1176"/>
      <c r="AE27" s="1176"/>
      <c r="AF27" s="1176"/>
      <c r="AG27" s="1176"/>
      <c r="AH27" s="1176"/>
      <c r="AI27" s="1176"/>
    </row>
    <row r="28" ht="12.75" hidden="1">
      <c r="K28" s="7" t="s">
        <v>510</v>
      </c>
    </row>
    <row r="29" ht="12.75" hidden="1">
      <c r="K29" s="7" t="s">
        <v>511</v>
      </c>
    </row>
    <row r="30" spans="11:29" ht="12.75" hidden="1">
      <c r="K30" s="1177" t="str">
        <f>IF(AND(F1=0,K26=K27),"SIKERES REGISZTRÁCIÓ","")</f>
        <v>SIKERES REGISZTRÁCIÓ</v>
      </c>
      <c r="L30" s="1177"/>
      <c r="M30" s="1177"/>
      <c r="N30" s="1177"/>
      <c r="O30" s="1177"/>
      <c r="P30" s="1177"/>
      <c r="Q30" s="1177"/>
      <c r="R30" s="1177"/>
      <c r="S30" s="1177"/>
      <c r="T30" s="1177"/>
      <c r="U30" s="1177"/>
      <c r="V30" s="1177"/>
      <c r="W30" s="1177"/>
      <c r="X30" s="1177"/>
      <c r="Y30" s="1177"/>
      <c r="Z30" s="1177"/>
      <c r="AA30" s="1177"/>
      <c r="AB30" s="1177"/>
      <c r="AC30" s="1177"/>
    </row>
    <row r="31" ht="12.75" hidden="1"/>
    <row r="32" ht="12.75" hidden="1"/>
    <row r="33" ht="12.75" hidden="1"/>
    <row r="34" ht="12.75" hidden="1"/>
    <row r="35" ht="12.75" hidden="1"/>
    <row r="36" spans="5:12" ht="12.75" hidden="1">
      <c r="E36" s="8" t="s">
        <v>512</v>
      </c>
      <c r="F36" s="9"/>
      <c r="K36" s="5" t="s">
        <v>513</v>
      </c>
      <c r="L36" s="5"/>
    </row>
    <row r="37" spans="11:12" ht="12.75" hidden="1">
      <c r="K37" s="5" t="s">
        <v>536</v>
      </c>
      <c r="L37" s="5"/>
    </row>
    <row r="38" spans="11:12" ht="12.75" hidden="1">
      <c r="K38" s="5" t="s">
        <v>537</v>
      </c>
      <c r="L38" s="5"/>
    </row>
    <row r="39" spans="11:12" ht="12.75" hidden="1">
      <c r="K39" s="5" t="s">
        <v>538</v>
      </c>
      <c r="L39" s="5"/>
    </row>
    <row r="40" spans="11:18" ht="12.75" hidden="1">
      <c r="K40" s="5" t="s">
        <v>539</v>
      </c>
      <c r="L40" s="5"/>
      <c r="R40" s="10" t="s">
        <v>540</v>
      </c>
    </row>
    <row r="41" spans="11:23" ht="12.75" hidden="1">
      <c r="K41" s="5" t="s">
        <v>541</v>
      </c>
      <c r="L41" s="5"/>
      <c r="M41" s="5"/>
      <c r="N41" s="5"/>
      <c r="O41" s="5"/>
      <c r="P41" s="5"/>
      <c r="Q41" s="5"/>
      <c r="R41" s="10" t="s">
        <v>542</v>
      </c>
      <c r="S41" s="5"/>
      <c r="T41" s="5"/>
      <c r="U41" s="5"/>
      <c r="V41" s="5"/>
      <c r="W41" s="5"/>
    </row>
    <row r="42" spans="11:23" ht="12.75" hidden="1">
      <c r="K42" s="5"/>
      <c r="L42" s="5"/>
      <c r="M42" s="5"/>
      <c r="N42" s="5"/>
      <c r="O42" s="5"/>
      <c r="P42" s="5"/>
      <c r="Q42" s="5"/>
      <c r="R42" s="10" t="s">
        <v>543</v>
      </c>
      <c r="S42" s="5"/>
      <c r="T42" s="5"/>
      <c r="U42" s="5"/>
      <c r="V42" s="5"/>
      <c r="W42" s="5"/>
    </row>
    <row r="43" spans="11:23" ht="12.75" hidden="1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 hidden="1">
      <c r="K44" s="5" t="s">
        <v>544</v>
      </c>
      <c r="L44" s="5"/>
    </row>
    <row r="45" spans="11:12" ht="12.75" hidden="1">
      <c r="K45" s="5"/>
      <c r="L45" s="5"/>
    </row>
    <row r="46" spans="11:12" ht="12.75" hidden="1">
      <c r="K46" s="5" t="s">
        <v>545</v>
      </c>
      <c r="L46" s="5"/>
    </row>
    <row r="47" spans="11:12" ht="12.75" hidden="1">
      <c r="K47" s="5" t="s">
        <v>546</v>
      </c>
      <c r="L47" s="5"/>
    </row>
    <row r="48" spans="11:12" ht="12.75" hidden="1">
      <c r="K48" s="5" t="s">
        <v>547</v>
      </c>
      <c r="L48" s="5"/>
    </row>
    <row r="49" spans="11:12" ht="12.75" hidden="1">
      <c r="K49" s="5" t="s">
        <v>548</v>
      </c>
      <c r="L49" s="5"/>
    </row>
    <row r="50" spans="11:12" ht="12.75" hidden="1">
      <c r="K50" s="5" t="s">
        <v>549</v>
      </c>
      <c r="L50" s="5"/>
    </row>
  </sheetData>
  <sheetProtection password="C1DD" sheet="1" objects="1" scenarios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92"/>
  <sheetViews>
    <sheetView showGridLines="0" view="pageBreakPreview" zoomScaleSheetLayoutView="100" zoomScalePageLayoutView="0" workbookViewId="0" topLeftCell="A27">
      <selection activeCell="K24" sqref="K24:N24"/>
    </sheetView>
  </sheetViews>
  <sheetFormatPr defaultColWidth="9.140625" defaultRowHeight="12.75"/>
  <cols>
    <col min="1" max="1" width="4.7109375" style="250" customWidth="1"/>
    <col min="2" max="2" width="9.421875" style="250" customWidth="1"/>
    <col min="3" max="3" width="20.28125" style="250" customWidth="1"/>
    <col min="4" max="4" width="12.7109375" style="250" customWidth="1"/>
    <col min="5" max="5" width="4.140625" style="250" customWidth="1"/>
    <col min="6" max="6" width="8.28125" style="250" customWidth="1"/>
    <col min="7" max="10" width="0" style="250" hidden="1" customWidth="1"/>
    <col min="11" max="11" width="5.57421875" style="250" customWidth="1"/>
    <col min="12" max="12" width="3.00390625" style="250" customWidth="1"/>
    <col min="13" max="13" width="6.421875" style="250" customWidth="1"/>
    <col min="14" max="14" width="8.57421875" style="250" customWidth="1"/>
    <col min="15" max="15" width="9.140625" style="711" customWidth="1"/>
    <col min="16" max="16" width="7.140625" style="711" customWidth="1"/>
    <col min="17" max="17" width="5.421875" style="325" customWidth="1"/>
    <col min="18" max="18" width="0" style="250" hidden="1" customWidth="1"/>
    <col min="19" max="19" width="4.57421875" style="250" customWidth="1"/>
    <col min="20" max="25" width="0" style="250" hidden="1" customWidth="1"/>
    <col min="26" max="26" width="9.140625" style="250" customWidth="1"/>
    <col min="27" max="27" width="13.57421875" style="250" customWidth="1"/>
    <col min="28" max="16384" width="9.140625" style="250" customWidth="1"/>
  </cols>
  <sheetData>
    <row r="1" ht="15" customHeight="1" hidden="1"/>
    <row r="2" spans="1:14" ht="22.5" customHeight="1">
      <c r="A2" s="1285" t="s">
        <v>285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466" t="s">
        <v>191</v>
      </c>
    </row>
    <row r="3" ht="3.75" customHeight="1" hidden="1"/>
    <row r="4" ht="0.75" customHeight="1" hidden="1"/>
    <row r="5" spans="1:16" ht="19.5" customHeight="1">
      <c r="A5" s="491">
        <v>2011</v>
      </c>
      <c r="B5" s="468" t="s">
        <v>357</v>
      </c>
      <c r="C5" s="469">
        <f>'F.LAP'!C5</f>
        <v>0</v>
      </c>
      <c r="D5" s="468" t="s">
        <v>286</v>
      </c>
      <c r="E5" s="468"/>
      <c r="F5" s="468"/>
      <c r="G5" s="468"/>
      <c r="H5" s="468"/>
      <c r="I5" s="468"/>
      <c r="J5" s="468"/>
      <c r="K5" s="468"/>
      <c r="L5" s="468"/>
      <c r="M5" s="468"/>
      <c r="N5" s="470"/>
      <c r="O5" s="712"/>
      <c r="P5" s="713"/>
    </row>
    <row r="6" spans="1:14" ht="19.5" customHeight="1">
      <c r="A6" s="1267" t="s">
        <v>359</v>
      </c>
      <c r="B6" s="1267"/>
      <c r="C6" s="1267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</row>
    <row r="7" spans="1:14" ht="19.5" customHeight="1">
      <c r="A7" s="1267" t="s">
        <v>360</v>
      </c>
      <c r="B7" s="1267"/>
      <c r="C7" s="1267"/>
      <c r="D7" s="1267"/>
      <c r="E7" s="1267"/>
      <c r="F7" s="1267"/>
      <c r="G7" s="1267"/>
      <c r="H7" s="1267"/>
      <c r="I7" s="1267"/>
      <c r="J7" s="1267"/>
      <c r="K7" s="1267"/>
      <c r="L7" s="1267"/>
      <c r="M7" s="1267"/>
      <c r="N7" s="1267"/>
    </row>
    <row r="8" spans="1:14" ht="19.5" customHeight="1">
      <c r="A8" s="1327" t="s">
        <v>390</v>
      </c>
      <c r="B8" s="1327"/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</row>
    <row r="9" ht="0.75" customHeight="1"/>
    <row r="10" spans="1:14" ht="13.5" customHeight="1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  <c r="N10" s="1282"/>
    </row>
    <row r="11" spans="1:14" ht="12.75" customHeight="1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2"/>
    </row>
    <row r="12" spans="1:14" ht="15.75">
      <c r="A12" s="1284">
        <f>'F.LAP'!A12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  <c r="N12" s="1284"/>
    </row>
    <row r="13" spans="1:14" ht="12.75" customHeight="1">
      <c r="A13" s="1270" t="s">
        <v>202</v>
      </c>
      <c r="B13" s="1270"/>
      <c r="C13" s="1323">
        <f>'F.LAP'!C13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</row>
    <row r="14" spans="1:14" ht="15">
      <c r="A14" s="1274" t="s">
        <v>363</v>
      </c>
      <c r="B14" s="1274"/>
      <c r="C14" s="1274"/>
      <c r="D14" s="1274"/>
      <c r="E14" s="693"/>
      <c r="F14" s="1324">
        <f>'F.LAP'!F14</f>
      </c>
      <c r="G14" s="1324"/>
      <c r="H14" s="1324"/>
      <c r="I14" s="1324"/>
      <c r="J14" s="1324"/>
      <c r="K14" s="1324"/>
      <c r="L14" s="1324"/>
      <c r="M14" s="1324"/>
      <c r="N14" s="1324"/>
    </row>
    <row r="15" spans="1:14" ht="1.5" customHeight="1">
      <c r="A15" s="240"/>
      <c r="B15" s="240"/>
      <c r="C15" s="240"/>
      <c r="D15" s="240"/>
      <c r="E15" s="240"/>
      <c r="F15" s="240"/>
      <c r="G15" s="240"/>
      <c r="H15" s="240"/>
      <c r="I15" s="240"/>
      <c r="K15" s="240"/>
      <c r="L15" s="240"/>
      <c r="M15" s="240"/>
      <c r="N15" s="240"/>
    </row>
    <row r="16" spans="1:14" ht="12.75" customHeight="1">
      <c r="A16" s="240" t="s">
        <v>301</v>
      </c>
      <c r="B16" s="308" t="s">
        <v>302</v>
      </c>
      <c r="C16" s="240"/>
      <c r="D16" s="240"/>
      <c r="E16" s="240"/>
      <c r="F16" s="240"/>
      <c r="G16" s="240"/>
      <c r="H16" s="240"/>
      <c r="I16" s="240"/>
      <c r="K16" s="240"/>
      <c r="L16" s="240"/>
      <c r="M16" s="240"/>
      <c r="N16" s="240"/>
    </row>
    <row r="17" spans="1:14" ht="1.5" customHeight="1">
      <c r="A17" s="240"/>
      <c r="B17" s="240"/>
      <c r="C17" s="240"/>
      <c r="D17" s="240"/>
      <c r="E17" s="240"/>
      <c r="F17" s="240"/>
      <c r="G17" s="240"/>
      <c r="H17" s="240"/>
      <c r="I17" s="240"/>
      <c r="K17" s="240"/>
      <c r="L17" s="240"/>
      <c r="M17" s="240"/>
      <c r="N17" s="240"/>
    </row>
    <row r="18" spans="1:32" ht="15.75" customHeight="1">
      <c r="A18" s="701">
        <f>IF('F.LAP'!A18="","","X")</f>
      </c>
      <c r="B18" s="692" t="s">
        <v>306</v>
      </c>
      <c r="D18" s="240"/>
      <c r="E18" s="795" t="s">
        <v>36</v>
      </c>
      <c r="F18" s="796"/>
      <c r="G18" s="264"/>
      <c r="H18" s="264"/>
      <c r="I18" s="264"/>
      <c r="J18" s="298"/>
      <c r="K18" s="264"/>
      <c r="L18" s="264"/>
      <c r="M18" s="264"/>
      <c r="N18" s="264"/>
      <c r="AE18" s="250">
        <v>0</v>
      </c>
      <c r="AF18" s="250">
        <v>0</v>
      </c>
    </row>
    <row r="19" spans="1:32" ht="15.75" customHeight="1">
      <c r="A19" s="701">
        <f>IF('F.LAP'!A19="","","X")</f>
      </c>
      <c r="B19" s="692" t="s">
        <v>307</v>
      </c>
      <c r="D19" s="240"/>
      <c r="E19" s="795" t="s">
        <v>36</v>
      </c>
      <c r="F19" s="796"/>
      <c r="G19" s="264"/>
      <c r="H19" s="264"/>
      <c r="I19" s="264"/>
      <c r="J19" s="298"/>
      <c r="K19" s="264"/>
      <c r="L19" s="264"/>
      <c r="M19" s="264"/>
      <c r="N19" s="264"/>
      <c r="AE19" s="250">
        <v>0</v>
      </c>
      <c r="AF19" s="250">
        <v>0</v>
      </c>
    </row>
    <row r="20" spans="1:32" ht="15.75" customHeight="1">
      <c r="A20" s="701">
        <f>IF('F.LAP'!A20="","","X")</f>
      </c>
      <c r="B20" s="692" t="s">
        <v>308</v>
      </c>
      <c r="D20" s="240"/>
      <c r="E20" s="795" t="s">
        <v>36</v>
      </c>
      <c r="F20" s="796"/>
      <c r="G20" s="264"/>
      <c r="H20" s="264"/>
      <c r="I20" s="264"/>
      <c r="J20" s="298"/>
      <c r="K20" s="264"/>
      <c r="L20" s="264"/>
      <c r="M20" s="264"/>
      <c r="N20" s="264"/>
      <c r="AE20" s="250">
        <v>0</v>
      </c>
      <c r="AF20" s="250">
        <v>0</v>
      </c>
    </row>
    <row r="21" spans="1:14" ht="15.75" customHeight="1">
      <c r="A21" s="701">
        <f>IF('F.LAP'!A21="","","X")</f>
      </c>
      <c r="B21" s="692" t="s">
        <v>309</v>
      </c>
      <c r="D21" s="240"/>
      <c r="E21" s="240"/>
      <c r="F21" s="240"/>
      <c r="G21" s="240"/>
      <c r="H21" s="240"/>
      <c r="I21" s="240"/>
      <c r="K21" s="240"/>
      <c r="L21" s="240"/>
      <c r="M21" s="240"/>
      <c r="N21" s="240"/>
    </row>
    <row r="22" spans="1:14" ht="1.5" customHeight="1">
      <c r="A22" s="240"/>
      <c r="B22" s="240"/>
      <c r="C22" s="240"/>
      <c r="D22" s="240"/>
      <c r="E22" s="240"/>
      <c r="F22" s="240"/>
      <c r="G22" s="240"/>
      <c r="H22" s="240"/>
      <c r="I22" s="240"/>
      <c r="K22" s="240"/>
      <c r="L22" s="240"/>
      <c r="M22" s="240"/>
      <c r="N22" s="240"/>
    </row>
    <row r="23" spans="1:16" ht="24.75" customHeight="1">
      <c r="A23" s="1325" t="s">
        <v>392</v>
      </c>
      <c r="B23" s="1325"/>
      <c r="C23" s="1325"/>
      <c r="D23" s="1325"/>
      <c r="E23" s="1325"/>
      <c r="F23" s="1325"/>
      <c r="G23" s="492"/>
      <c r="H23" s="492"/>
      <c r="I23" s="492"/>
      <c r="J23" s="492"/>
      <c r="K23" s="1326" t="s">
        <v>365</v>
      </c>
      <c r="L23" s="1326"/>
      <c r="M23" s="1326"/>
      <c r="N23" s="1326"/>
      <c r="P23" s="714"/>
    </row>
    <row r="24" spans="1:32" ht="33" customHeight="1">
      <c r="A24" s="1316" t="s">
        <v>393</v>
      </c>
      <c r="B24" s="1316"/>
      <c r="C24" s="1316"/>
      <c r="D24" s="1316"/>
      <c r="E24" s="1316"/>
      <c r="F24" s="1316"/>
      <c r="G24" s="492"/>
      <c r="H24" s="492"/>
      <c r="I24" s="492"/>
      <c r="J24" s="492"/>
      <c r="K24" s="1315"/>
      <c r="L24" s="1315"/>
      <c r="M24" s="1315"/>
      <c r="N24" s="1315"/>
      <c r="O24" s="711">
        <v>0</v>
      </c>
      <c r="P24" s="711" t="s">
        <v>36</v>
      </c>
      <c r="Q24" s="325">
        <v>0</v>
      </c>
      <c r="R24" s="250">
        <v>0</v>
      </c>
      <c r="S24" s="479" t="s">
        <v>36</v>
      </c>
      <c r="V24" s="479" t="s">
        <v>36</v>
      </c>
      <c r="W24" s="250">
        <v>0</v>
      </c>
      <c r="Z24" s="493" t="s">
        <v>826</v>
      </c>
      <c r="AE24" s="250">
        <v>0</v>
      </c>
      <c r="AF24" s="250">
        <v>0</v>
      </c>
    </row>
    <row r="25" spans="1:23" ht="15" customHeight="1">
      <c r="A25" s="1306" t="s">
        <v>397</v>
      </c>
      <c r="B25" s="1306"/>
      <c r="C25" s="1306"/>
      <c r="D25" s="1306"/>
      <c r="E25" s="1306"/>
      <c r="F25" s="1306"/>
      <c r="G25" s="492"/>
      <c r="H25" s="492"/>
      <c r="I25" s="492"/>
      <c r="J25" s="492"/>
      <c r="K25" s="1317"/>
      <c r="L25" s="1318"/>
      <c r="M25" s="1318"/>
      <c r="N25" s="1319"/>
      <c r="Q25" s="325">
        <v>0</v>
      </c>
      <c r="R25" s="250">
        <v>0</v>
      </c>
      <c r="S25" s="479" t="s">
        <v>36</v>
      </c>
      <c r="V25" s="479" t="s">
        <v>36</v>
      </c>
      <c r="W25" s="250">
        <v>0</v>
      </c>
    </row>
    <row r="26" spans="1:26" ht="21" customHeight="1">
      <c r="A26" s="1306"/>
      <c r="B26" s="1306"/>
      <c r="C26" s="1306"/>
      <c r="D26" s="1306"/>
      <c r="E26" s="1306"/>
      <c r="F26" s="1306"/>
      <c r="G26" s="492"/>
      <c r="H26" s="492"/>
      <c r="I26" s="492"/>
      <c r="J26" s="492"/>
      <c r="K26" s="1320"/>
      <c r="L26" s="1321"/>
      <c r="M26" s="1321"/>
      <c r="N26" s="1322"/>
      <c r="R26" s="250">
        <v>0</v>
      </c>
      <c r="S26" s="479" t="s">
        <v>36</v>
      </c>
      <c r="V26" s="479" t="s">
        <v>36</v>
      </c>
      <c r="W26" s="250">
        <v>0</v>
      </c>
      <c r="Z26" s="493" t="s">
        <v>826</v>
      </c>
    </row>
    <row r="27" spans="1:32" ht="32.25" customHeight="1">
      <c r="A27" s="1306" t="s">
        <v>394</v>
      </c>
      <c r="B27" s="1306"/>
      <c r="C27" s="1306"/>
      <c r="D27" s="1306"/>
      <c r="E27" s="1306"/>
      <c r="F27" s="1306"/>
      <c r="G27" s="492"/>
      <c r="H27" s="492"/>
      <c r="I27" s="492"/>
      <c r="J27" s="492"/>
      <c r="K27" s="1315"/>
      <c r="L27" s="1315"/>
      <c r="M27" s="1315"/>
      <c r="N27" s="1315"/>
      <c r="O27" s="711">
        <v>0</v>
      </c>
      <c r="P27" s="711" t="s">
        <v>36</v>
      </c>
      <c r="Q27" s="325">
        <v>0</v>
      </c>
      <c r="R27" s="250">
        <v>0</v>
      </c>
      <c r="S27" s="479" t="s">
        <v>36</v>
      </c>
      <c r="V27" s="479" t="s">
        <v>36</v>
      </c>
      <c r="W27" s="250">
        <v>0</v>
      </c>
      <c r="Z27" s="493" t="s">
        <v>826</v>
      </c>
      <c r="AE27" s="250">
        <v>0</v>
      </c>
      <c r="AF27" s="250">
        <v>0</v>
      </c>
    </row>
    <row r="28" spans="1:26" ht="33" customHeight="1">
      <c r="A28" s="1306" t="s">
        <v>398</v>
      </c>
      <c r="B28" s="1306"/>
      <c r="C28" s="1306"/>
      <c r="D28" s="1306"/>
      <c r="E28" s="1306"/>
      <c r="F28" s="1306"/>
      <c r="G28" s="492"/>
      <c r="H28" s="492"/>
      <c r="I28" s="492"/>
      <c r="J28" s="492"/>
      <c r="K28" s="1315"/>
      <c r="L28" s="1315"/>
      <c r="M28" s="1315"/>
      <c r="N28" s="1315"/>
      <c r="Q28" s="325">
        <v>0</v>
      </c>
      <c r="R28" s="250">
        <v>0</v>
      </c>
      <c r="S28" s="479" t="s">
        <v>36</v>
      </c>
      <c r="V28" s="479" t="s">
        <v>36</v>
      </c>
      <c r="W28" s="250">
        <v>0</v>
      </c>
      <c r="Z28" s="493" t="s">
        <v>826</v>
      </c>
    </row>
    <row r="29" spans="1:31" ht="42.75" customHeight="1">
      <c r="A29" s="1306" t="s">
        <v>832</v>
      </c>
      <c r="B29" s="1306"/>
      <c r="C29" s="1306"/>
      <c r="D29" s="1306"/>
      <c r="E29" s="1306"/>
      <c r="F29" s="1306"/>
      <c r="G29" s="492"/>
      <c r="H29" s="492"/>
      <c r="I29" s="492"/>
      <c r="J29" s="492"/>
      <c r="K29" s="1315"/>
      <c r="L29" s="1315"/>
      <c r="M29" s="1315"/>
      <c r="N29" s="1315"/>
      <c r="O29" s="711">
        <v>0</v>
      </c>
      <c r="P29" s="711" t="s">
        <v>36</v>
      </c>
      <c r="Q29" s="325">
        <v>0</v>
      </c>
      <c r="S29" s="479"/>
      <c r="V29" s="479"/>
      <c r="W29" s="250">
        <v>0</v>
      </c>
      <c r="Y29" s="494"/>
      <c r="AA29" s="494">
        <v>0</v>
      </c>
      <c r="AE29" s="250">
        <v>0</v>
      </c>
    </row>
    <row r="30" spans="1:23" ht="43.5" customHeight="1">
      <c r="A30" s="1306" t="s">
        <v>833</v>
      </c>
      <c r="B30" s="1306"/>
      <c r="C30" s="1306"/>
      <c r="D30" s="1306"/>
      <c r="E30" s="1306"/>
      <c r="F30" s="1306"/>
      <c r="G30" s="492"/>
      <c r="H30" s="492"/>
      <c r="I30" s="492"/>
      <c r="J30" s="492"/>
      <c r="K30" s="1315"/>
      <c r="L30" s="1315"/>
      <c r="M30" s="1315"/>
      <c r="N30" s="1315"/>
      <c r="Q30" s="325">
        <v>0</v>
      </c>
      <c r="S30" s="479"/>
      <c r="V30" s="479"/>
      <c r="W30" s="250">
        <v>0</v>
      </c>
    </row>
    <row r="31" spans="1:31" ht="30" customHeight="1">
      <c r="A31" s="1306" t="s">
        <v>846</v>
      </c>
      <c r="B31" s="1306"/>
      <c r="C31" s="1306"/>
      <c r="D31" s="1306"/>
      <c r="E31" s="1306"/>
      <c r="F31" s="1306"/>
      <c r="G31" s="492"/>
      <c r="H31" s="492"/>
      <c r="I31" s="492"/>
      <c r="J31" s="492"/>
      <c r="K31" s="1307"/>
      <c r="L31" s="1307"/>
      <c r="M31" s="1307"/>
      <c r="N31" s="694" t="s">
        <v>395</v>
      </c>
      <c r="O31" s="711">
        <v>0</v>
      </c>
      <c r="P31" s="711" t="s">
        <v>36</v>
      </c>
      <c r="Q31" s="325">
        <v>0</v>
      </c>
      <c r="R31" s="250">
        <v>0</v>
      </c>
      <c r="S31" s="479"/>
      <c r="V31" s="479"/>
      <c r="W31" s="250">
        <v>0</v>
      </c>
      <c r="Y31" s="494"/>
      <c r="AA31" s="494">
        <v>0</v>
      </c>
      <c r="AE31" s="250">
        <v>0</v>
      </c>
    </row>
    <row r="32" spans="1:23" ht="46.5" customHeight="1">
      <c r="A32" s="1306" t="s">
        <v>847</v>
      </c>
      <c r="B32" s="1306"/>
      <c r="C32" s="1306"/>
      <c r="D32" s="1306"/>
      <c r="E32" s="1306"/>
      <c r="F32" s="1306"/>
      <c r="G32" s="240"/>
      <c r="H32" s="240"/>
      <c r="I32" s="240"/>
      <c r="J32" s="240"/>
      <c r="K32" s="1307"/>
      <c r="L32" s="1307"/>
      <c r="M32" s="1307"/>
      <c r="N32" s="495" t="s">
        <v>395</v>
      </c>
      <c r="Q32" s="325">
        <v>0</v>
      </c>
      <c r="S32" s="479"/>
      <c r="V32" s="479"/>
      <c r="W32" s="250">
        <v>0</v>
      </c>
    </row>
    <row r="33" spans="1:31" ht="37.5" customHeight="1" hidden="1">
      <c r="A33" s="1306" t="s">
        <v>851</v>
      </c>
      <c r="B33" s="1306"/>
      <c r="C33" s="1306"/>
      <c r="D33" s="1306"/>
      <c r="E33" s="1306"/>
      <c r="F33" s="1306"/>
      <c r="G33" s="492"/>
      <c r="H33" s="492"/>
      <c r="I33" s="492"/>
      <c r="J33" s="492"/>
      <c r="K33" s="1313"/>
      <c r="L33" s="1313"/>
      <c r="M33" s="1313"/>
      <c r="N33" s="1313"/>
      <c r="P33" s="711" t="s">
        <v>36</v>
      </c>
      <c r="Q33" s="325">
        <v>0</v>
      </c>
      <c r="S33" s="479"/>
      <c r="V33" s="479"/>
      <c r="AA33" s="250">
        <v>1</v>
      </c>
      <c r="AE33" s="250">
        <v>0</v>
      </c>
    </row>
    <row r="34" spans="1:22" ht="24.75" customHeight="1" hidden="1">
      <c r="A34" s="1306" t="s">
        <v>835</v>
      </c>
      <c r="B34" s="1306"/>
      <c r="C34" s="1306"/>
      <c r="D34" s="1306"/>
      <c r="E34" s="1306"/>
      <c r="F34" s="1306"/>
      <c r="G34" s="492"/>
      <c r="H34" s="492"/>
      <c r="I34" s="492"/>
      <c r="J34" s="492"/>
      <c r="K34" s="1313"/>
      <c r="L34" s="1313"/>
      <c r="M34" s="1313"/>
      <c r="N34" s="1314"/>
      <c r="Q34" s="325">
        <v>0</v>
      </c>
      <c r="S34" s="479"/>
      <c r="V34" s="479"/>
    </row>
    <row r="35" spans="1:31" ht="24.75" customHeight="1" hidden="1">
      <c r="A35" s="1306" t="s">
        <v>836</v>
      </c>
      <c r="B35" s="1306"/>
      <c r="C35" s="1306"/>
      <c r="D35" s="1306"/>
      <c r="E35" s="1306"/>
      <c r="F35" s="1306"/>
      <c r="G35" s="240"/>
      <c r="H35" s="240"/>
      <c r="I35" s="240"/>
      <c r="J35" s="240"/>
      <c r="K35" s="1307"/>
      <c r="L35" s="1307"/>
      <c r="M35" s="1308"/>
      <c r="N35" s="691" t="s">
        <v>834</v>
      </c>
      <c r="P35" s="711" t="s">
        <v>36</v>
      </c>
      <c r="Q35" s="325">
        <v>0</v>
      </c>
      <c r="S35" s="479"/>
      <c r="V35" s="479"/>
      <c r="AE35" s="250">
        <v>0</v>
      </c>
    </row>
    <row r="36" spans="1:22" ht="23.25" customHeight="1" hidden="1">
      <c r="A36" s="1306" t="s">
        <v>837</v>
      </c>
      <c r="B36" s="1306"/>
      <c r="C36" s="1306"/>
      <c r="D36" s="1306"/>
      <c r="E36" s="1306"/>
      <c r="F36" s="1306"/>
      <c r="G36" s="240"/>
      <c r="H36" s="240"/>
      <c r="I36" s="240"/>
      <c r="J36" s="240"/>
      <c r="K36" s="1307"/>
      <c r="L36" s="1307"/>
      <c r="M36" s="1308"/>
      <c r="N36" s="691" t="s">
        <v>834</v>
      </c>
      <c r="Q36" s="325">
        <v>0</v>
      </c>
      <c r="S36" s="479"/>
      <c r="V36" s="479"/>
    </row>
    <row r="37" spans="1:32" ht="26.25" customHeight="1" hidden="1">
      <c r="A37" s="1306" t="s">
        <v>838</v>
      </c>
      <c r="B37" s="1306"/>
      <c r="C37" s="1306"/>
      <c r="D37" s="1306"/>
      <c r="E37" s="1306"/>
      <c r="F37" s="1306"/>
      <c r="G37" s="240"/>
      <c r="H37" s="240"/>
      <c r="I37" s="240"/>
      <c r="J37" s="240"/>
      <c r="K37" s="1307"/>
      <c r="L37" s="1307"/>
      <c r="M37" s="1308"/>
      <c r="N37" s="691" t="s">
        <v>834</v>
      </c>
      <c r="P37" s="711" t="s">
        <v>36</v>
      </c>
      <c r="Q37" s="325">
        <v>0</v>
      </c>
      <c r="S37" s="479"/>
      <c r="V37" s="479"/>
      <c r="AA37" s="703">
        <v>0</v>
      </c>
      <c r="AE37" s="250">
        <v>0</v>
      </c>
      <c r="AF37" s="250">
        <v>0</v>
      </c>
    </row>
    <row r="38" spans="1:33" ht="24.75" customHeight="1" hidden="1">
      <c r="A38" s="1306" t="s">
        <v>840</v>
      </c>
      <c r="B38" s="1306"/>
      <c r="C38" s="1306"/>
      <c r="D38" s="1306"/>
      <c r="E38" s="1306"/>
      <c r="F38" s="1306"/>
      <c r="G38" s="240"/>
      <c r="H38" s="240"/>
      <c r="I38" s="240"/>
      <c r="J38" s="240"/>
      <c r="K38" s="1307"/>
      <c r="L38" s="1307"/>
      <c r="M38" s="1308"/>
      <c r="N38" s="691" t="s">
        <v>834</v>
      </c>
      <c r="Q38" s="325">
        <v>0</v>
      </c>
      <c r="S38" s="479"/>
      <c r="V38" s="479"/>
      <c r="AA38" s="703">
        <v>0</v>
      </c>
      <c r="AF38" s="250">
        <v>0</v>
      </c>
      <c r="AG38" s="250">
        <v>0</v>
      </c>
    </row>
    <row r="39" spans="1:31" ht="23.25" customHeight="1" hidden="1">
      <c r="A39" s="1306" t="s">
        <v>841</v>
      </c>
      <c r="B39" s="1306"/>
      <c r="C39" s="1306"/>
      <c r="D39" s="1306"/>
      <c r="E39" s="1306"/>
      <c r="F39" s="1306"/>
      <c r="G39" s="240"/>
      <c r="H39" s="240"/>
      <c r="I39" s="240"/>
      <c r="J39" s="240"/>
      <c r="K39" s="1307"/>
      <c r="L39" s="1307"/>
      <c r="M39" s="1308"/>
      <c r="N39" s="691" t="s">
        <v>834</v>
      </c>
      <c r="P39" s="711" t="s">
        <v>36</v>
      </c>
      <c r="Q39" s="325">
        <v>0</v>
      </c>
      <c r="S39" s="479"/>
      <c r="V39" s="479"/>
      <c r="AE39" s="250">
        <v>0</v>
      </c>
    </row>
    <row r="40" spans="1:22" ht="25.5" customHeight="1" hidden="1">
      <c r="A40" s="1306" t="s">
        <v>845</v>
      </c>
      <c r="B40" s="1306"/>
      <c r="C40" s="1306"/>
      <c r="D40" s="1306"/>
      <c r="E40" s="1306"/>
      <c r="F40" s="1306"/>
      <c r="G40" s="240"/>
      <c r="H40" s="240"/>
      <c r="I40" s="240"/>
      <c r="J40" s="240"/>
      <c r="K40" s="1307"/>
      <c r="L40" s="1307"/>
      <c r="M40" s="1308"/>
      <c r="N40" s="691" t="s">
        <v>834</v>
      </c>
      <c r="Q40" s="325">
        <v>0</v>
      </c>
      <c r="S40" s="479"/>
      <c r="V40" s="479"/>
    </row>
    <row r="41" spans="2:31" ht="11.25" customHeight="1">
      <c r="B41" s="484" t="s">
        <v>322</v>
      </c>
      <c r="C41" s="485" t="str">
        <f>'F.LAP'!C41</f>
        <v>www.iparuzes.hu                   .</v>
      </c>
      <c r="R41" s="250">
        <v>0</v>
      </c>
      <c r="AE41" s="250">
        <v>0</v>
      </c>
    </row>
    <row r="42" ht="9.75" customHeight="1"/>
    <row r="43" ht="15" hidden="1"/>
    <row r="44" ht="12.75" customHeight="1" hidden="1"/>
    <row r="45" spans="1:14" ht="14.25" customHeight="1">
      <c r="A45" s="1276" t="str">
        <f>'F.LAP'!A45</f>
        <v>Szabadszállás</v>
      </c>
      <c r="B45" s="1276"/>
      <c r="C45" s="1276"/>
      <c r="D45" s="427">
        <f>'F.LAP'!D45</f>
        <v>2013</v>
      </c>
      <c r="E45" s="428"/>
      <c r="F45" s="486" t="s">
        <v>134</v>
      </c>
      <c r="G45" s="486"/>
      <c r="H45" s="486"/>
      <c r="I45" s="486"/>
      <c r="J45" s="486"/>
      <c r="K45" s="427">
        <f>'F.LAP'!K45</f>
        <v>0</v>
      </c>
      <c r="L45" s="486" t="s">
        <v>135</v>
      </c>
      <c r="M45" s="427">
        <f>'F.LAP'!M45</f>
        <v>0</v>
      </c>
      <c r="N45" s="250" t="s">
        <v>210</v>
      </c>
    </row>
    <row r="46" spans="1:14" ht="9.75" customHeight="1">
      <c r="A46" s="1309"/>
      <c r="B46" s="1310"/>
      <c r="C46" s="1310"/>
      <c r="D46" s="1310"/>
      <c r="E46" s="1310"/>
      <c r="F46" s="1310"/>
      <c r="G46" s="1310"/>
      <c r="H46" s="1310"/>
      <c r="I46" s="1310"/>
      <c r="J46" s="1310"/>
      <c r="K46" s="1310"/>
      <c r="L46" s="1310"/>
      <c r="M46" s="1310"/>
      <c r="N46" s="1310"/>
    </row>
    <row r="47" spans="1:14" ht="36" customHeight="1">
      <c r="A47" s="1311" t="s">
        <v>287</v>
      </c>
      <c r="B47" s="1312"/>
      <c r="C47" s="1312"/>
      <c r="D47" s="1312"/>
      <c r="E47" s="1312"/>
      <c r="F47" s="1312"/>
      <c r="G47" s="1312"/>
      <c r="H47" s="1312"/>
      <c r="I47" s="1312"/>
      <c r="J47" s="1312"/>
      <c r="K47" s="1312"/>
      <c r="L47" s="1312"/>
      <c r="M47" s="1312"/>
      <c r="N47" s="1312"/>
    </row>
    <row r="48" ht="14.25" customHeight="1">
      <c r="A48" s="797"/>
    </row>
    <row r="49" spans="4:14" ht="9" customHeight="1"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8"/>
    </row>
    <row r="50" spans="1:14" ht="12" customHeight="1">
      <c r="A50" s="298"/>
      <c r="B50" s="479"/>
      <c r="D50" s="1277" t="s">
        <v>388</v>
      </c>
      <c r="E50" s="1277"/>
      <c r="F50" s="1277"/>
      <c r="G50" s="1277"/>
      <c r="H50" s="1277"/>
      <c r="I50" s="1277"/>
      <c r="J50" s="1277"/>
      <c r="K50" s="1277"/>
      <c r="L50" s="1277"/>
      <c r="M50" s="1277"/>
      <c r="N50" s="1277"/>
    </row>
    <row r="51" spans="1:2" ht="3.75" customHeight="1">
      <c r="A51" s="695">
        <v>0</v>
      </c>
      <c r="B51" s="235" t="s">
        <v>36</v>
      </c>
    </row>
    <row r="52" spans="1:2" ht="9" customHeight="1" hidden="1">
      <c r="A52" s="695">
        <v>0</v>
      </c>
      <c r="B52" s="235" t="s">
        <v>36</v>
      </c>
    </row>
    <row r="53" spans="1:2" ht="4.5" customHeight="1" hidden="1">
      <c r="A53" s="695" t="s">
        <v>36</v>
      </c>
      <c r="B53" s="235" t="s">
        <v>36</v>
      </c>
    </row>
    <row r="54" spans="1:2" ht="9" customHeight="1" hidden="1">
      <c r="A54" s="695">
        <v>0</v>
      </c>
      <c r="B54" s="235" t="s">
        <v>36</v>
      </c>
    </row>
    <row r="55" spans="1:12" ht="0.75" customHeight="1" hidden="1">
      <c r="A55" s="298">
        <v>0</v>
      </c>
      <c r="B55" s="1305" t="s">
        <v>36</v>
      </c>
      <c r="C55" s="1305"/>
      <c r="D55" s="1305"/>
      <c r="E55" s="1305"/>
      <c r="F55" s="1305"/>
      <c r="G55" s="1305"/>
      <c r="H55" s="1305"/>
      <c r="I55" s="1305"/>
      <c r="J55" s="1305"/>
      <c r="K55" s="1305"/>
      <c r="L55" s="1305"/>
    </row>
    <row r="56" spans="1:14" ht="15.75">
      <c r="A56" s="298">
        <v>0</v>
      </c>
      <c r="B56" s="301" t="str">
        <f>'F.LAP'!B55</f>
        <v> E L L E N Ő R Z Ö T T</v>
      </c>
      <c r="D56" s="334" t="str">
        <f>'F.LAP'!D55</f>
        <v> VAN HIBÁS LAP !</v>
      </c>
      <c r="E56" s="334"/>
      <c r="N56" s="298">
        <v>0</v>
      </c>
    </row>
    <row r="57" ht="15">
      <c r="C57" s="326" t="s">
        <v>827</v>
      </c>
    </row>
    <row r="58" spans="1:13" ht="15">
      <c r="A58" s="250">
        <f>'F.LAP'!A58</f>
        <v>0</v>
      </c>
      <c r="B58" s="326"/>
      <c r="C58" s="250">
        <f>'F.LAP'!C58</f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</row>
    <row r="59" spans="1:13" ht="15">
      <c r="A59" s="250">
        <f>'F.LAP'!A59</f>
        <v>0</v>
      </c>
      <c r="B59" s="326"/>
      <c r="C59" s="250">
        <f>'F.LAP'!C59</f>
      </c>
      <c r="D59" s="326"/>
      <c r="E59" s="326"/>
      <c r="F59" s="326"/>
      <c r="G59" s="326"/>
      <c r="H59" s="326"/>
      <c r="I59" s="326"/>
      <c r="J59" s="326"/>
      <c r="K59" s="326"/>
      <c r="L59" s="326"/>
      <c r="M59" s="326"/>
    </row>
    <row r="60" spans="1:13" ht="15">
      <c r="A60" s="250">
        <f>'F.LAP'!A60</f>
        <v>0</v>
      </c>
      <c r="B60" s="326"/>
      <c r="C60" s="250">
        <f>'F.LAP'!C60</f>
      </c>
      <c r="D60" s="326"/>
      <c r="E60" s="326"/>
      <c r="F60" s="326"/>
      <c r="G60" s="326"/>
      <c r="H60" s="326"/>
      <c r="I60" s="326"/>
      <c r="J60" s="326"/>
      <c r="K60" s="326"/>
      <c r="L60" s="326"/>
      <c r="M60" s="326"/>
    </row>
    <row r="61" spans="1:27" ht="15">
      <c r="A61" s="250">
        <f>'F.LAP'!A61</f>
        <v>0</v>
      </c>
      <c r="B61" s="326"/>
      <c r="C61" s="250">
        <f>'F.LAP'!C61</f>
      </c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AA61" s="250" t="s">
        <v>288</v>
      </c>
    </row>
    <row r="62" spans="1:27" ht="15">
      <c r="A62" s="250">
        <f>'F.LAP'!A62</f>
        <v>0</v>
      </c>
      <c r="B62" s="326"/>
      <c r="C62" s="250">
        <f>'F.LAP'!C62</f>
      </c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AA62" s="250" t="s">
        <v>289</v>
      </c>
    </row>
    <row r="63" spans="1:27" ht="15">
      <c r="A63" s="250">
        <f>'F.LAP'!A63</f>
        <v>0</v>
      </c>
      <c r="B63" s="326"/>
      <c r="C63" s="250">
        <f>'F.LAP'!C63</f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AA63" s="250" t="s">
        <v>290</v>
      </c>
    </row>
    <row r="64" spans="1:13" ht="15">
      <c r="A64" s="250">
        <f>'F.LAP'!A64</f>
        <v>0</v>
      </c>
      <c r="B64" s="326"/>
      <c r="C64" s="250">
        <f>'F.LAP'!C64</f>
      </c>
      <c r="D64" s="326"/>
      <c r="E64" s="326"/>
      <c r="F64" s="326"/>
      <c r="G64" s="326"/>
      <c r="H64" s="326"/>
      <c r="I64" s="326"/>
      <c r="J64" s="326"/>
      <c r="K64" s="326"/>
      <c r="L64" s="326"/>
      <c r="M64" s="326"/>
    </row>
    <row r="65" spans="1:13" ht="15">
      <c r="A65" s="250">
        <f>'F.LAP'!A65</f>
        <v>0</v>
      </c>
      <c r="B65" s="326"/>
      <c r="C65" s="250">
        <f>'F.LAP'!C65</f>
      </c>
      <c r="D65" s="326"/>
      <c r="E65" s="326"/>
      <c r="F65" s="326"/>
      <c r="G65" s="326"/>
      <c r="H65" s="326"/>
      <c r="I65" s="326"/>
      <c r="J65" s="326"/>
      <c r="K65" s="326"/>
      <c r="L65" s="326"/>
      <c r="M65" s="326"/>
    </row>
    <row r="66" spans="1:13" ht="15">
      <c r="A66" s="250">
        <f>'F.LAP'!A66</f>
        <v>0</v>
      </c>
      <c r="B66" s="326"/>
      <c r="C66" s="250">
        <f>'F.LAP'!C66</f>
      </c>
      <c r="D66" s="326"/>
      <c r="E66" s="326"/>
      <c r="F66" s="326"/>
      <c r="G66" s="326"/>
      <c r="H66" s="326"/>
      <c r="I66" s="326"/>
      <c r="J66" s="326"/>
      <c r="K66" s="326"/>
      <c r="L66" s="326"/>
      <c r="M66" s="326"/>
    </row>
    <row r="67" spans="1:13" ht="15">
      <c r="A67" s="250">
        <f>'F.LAP'!A67</f>
        <v>0</v>
      </c>
      <c r="B67" s="326"/>
      <c r="C67" s="250">
        <f>'F.LAP'!C67</f>
      </c>
      <c r="D67" s="326"/>
      <c r="E67" s="326"/>
      <c r="F67" s="326"/>
      <c r="G67" s="326"/>
      <c r="H67" s="326"/>
      <c r="I67" s="326"/>
      <c r="J67" s="326"/>
      <c r="K67" s="326"/>
      <c r="L67" s="326"/>
      <c r="M67" s="326"/>
    </row>
    <row r="68" spans="1:13" ht="15">
      <c r="A68" s="250">
        <f>'F.LAP'!A68</f>
        <v>0</v>
      </c>
      <c r="B68" s="326"/>
      <c r="C68" s="250">
        <f>'F.LAP'!C68</f>
      </c>
      <c r="D68" s="326"/>
      <c r="E68" s="326"/>
      <c r="F68" s="326"/>
      <c r="G68" s="326"/>
      <c r="H68" s="326"/>
      <c r="I68" s="326"/>
      <c r="J68" s="326"/>
      <c r="K68" s="326"/>
      <c r="L68" s="326"/>
      <c r="M68" s="326"/>
    </row>
    <row r="69" spans="1:3" ht="15">
      <c r="A69" s="250">
        <f>'F.LAP'!A69</f>
        <v>0</v>
      </c>
      <c r="C69" s="250">
        <f>'F.LAP'!C69</f>
      </c>
    </row>
    <row r="70" spans="1:3" ht="15">
      <c r="A70" s="250">
        <f>'F.LAP'!A70</f>
        <v>0</v>
      </c>
      <c r="C70" s="250">
        <f>'F.LAP'!C70</f>
      </c>
    </row>
    <row r="71" spans="1:3" ht="15">
      <c r="A71" s="250">
        <f>'F.LAP'!A71</f>
        <v>0</v>
      </c>
      <c r="C71" s="250">
        <f>'F.LAP'!C71</f>
      </c>
    </row>
    <row r="72" spans="1:3" ht="15">
      <c r="A72" s="250">
        <f>'F.LAP'!A72</f>
        <v>0</v>
      </c>
      <c r="C72" s="250">
        <f>'F.LAP'!C72</f>
      </c>
    </row>
    <row r="73" spans="1:3" ht="15">
      <c r="A73" s="250">
        <f>'F.LAP'!A73</f>
        <v>0</v>
      </c>
      <c r="C73" s="250">
        <f>'F.LAP'!C73</f>
      </c>
    </row>
    <row r="74" spans="1:3" ht="15">
      <c r="A74" s="250">
        <f>'F.LAP'!A74</f>
        <v>0</v>
      </c>
      <c r="C74" s="250">
        <f>'F.LAP'!C74</f>
      </c>
    </row>
    <row r="75" spans="1:3" ht="15">
      <c r="A75" s="250">
        <f>'F.LAP'!A75</f>
        <v>0</v>
      </c>
      <c r="C75" s="250">
        <f>'F.LAP'!C75</f>
      </c>
    </row>
    <row r="76" spans="1:3" ht="15">
      <c r="A76" s="250">
        <f>'F.LAP'!A76</f>
        <v>0</v>
      </c>
      <c r="C76" s="250">
        <f>'F.LAP'!C76</f>
      </c>
    </row>
    <row r="77" spans="1:3" ht="15">
      <c r="A77" s="250">
        <f>'F.LAP'!A77</f>
        <v>0</v>
      </c>
      <c r="C77" s="250">
        <f>'F.LAP'!C77</f>
      </c>
    </row>
    <row r="78" spans="1:3" ht="15">
      <c r="A78" s="250">
        <f>'F.LAP'!A78</f>
        <v>0</v>
      </c>
      <c r="C78" s="250">
        <f>'F.LAP'!C78</f>
      </c>
    </row>
    <row r="79" spans="1:3" ht="15">
      <c r="A79" s="250">
        <f>'F.LAP'!A79</f>
        <v>0</v>
      </c>
      <c r="C79" s="250">
        <f>'F.LAP'!C79</f>
      </c>
    </row>
    <row r="80" spans="1:3" ht="15">
      <c r="A80" s="250">
        <f>'F.LAP'!A80</f>
        <v>0</v>
      </c>
      <c r="C80" s="250">
        <f>'F.LAP'!C80</f>
      </c>
    </row>
    <row r="81" spans="1:3" ht="15">
      <c r="A81" s="250">
        <f>'F.LAP'!A81</f>
        <v>0</v>
      </c>
      <c r="C81" s="250">
        <f>'F.LAP'!C81</f>
      </c>
    </row>
    <row r="82" spans="1:3" ht="15">
      <c r="A82" s="250">
        <f>'F.LAP'!A82</f>
        <v>0</v>
      </c>
      <c r="C82" s="250">
        <f>'F.LAP'!C82</f>
      </c>
    </row>
    <row r="83" spans="1:3" ht="15">
      <c r="A83" s="250">
        <f>'F.LAP'!A83</f>
        <v>0</v>
      </c>
      <c r="C83" s="250">
        <f>'F.LAP'!C83</f>
      </c>
    </row>
    <row r="84" spans="1:3" ht="15">
      <c r="A84" s="250">
        <f>'F.LAP'!A84</f>
        <v>0</v>
      </c>
      <c r="C84" s="250">
        <f>'F.LAP'!C84</f>
      </c>
    </row>
    <row r="85" spans="1:3" ht="15">
      <c r="A85" s="250">
        <f>'F.LAP'!A85</f>
        <v>0</v>
      </c>
      <c r="C85" s="250">
        <f>'F.LAP'!C85</f>
      </c>
    </row>
    <row r="86" spans="1:3" ht="15">
      <c r="A86" s="250">
        <f>'F.LAP'!A86</f>
        <v>0</v>
      </c>
      <c r="C86" s="250">
        <f>'F.LAP'!C86</f>
      </c>
    </row>
    <row r="87" spans="1:3" ht="15">
      <c r="A87" s="250">
        <f>'F.LAP'!A87</f>
        <v>0</v>
      </c>
      <c r="C87" s="250">
        <f>'F.LAP'!C87</f>
      </c>
    </row>
    <row r="88" spans="1:3" ht="15">
      <c r="A88" s="250">
        <f>'F.LAP'!A88</f>
        <v>0</v>
      </c>
      <c r="C88" s="250">
        <f>'F.LAP'!C88</f>
      </c>
    </row>
    <row r="89" spans="1:3" ht="15">
      <c r="A89" s="250">
        <f>'F.LAP'!A89</f>
        <v>0</v>
      </c>
      <c r="C89" s="250">
        <f>'F.LAP'!C89</f>
      </c>
    </row>
    <row r="90" spans="1:3" ht="15">
      <c r="A90" s="250">
        <f>'F.LAP'!A90</f>
        <v>0</v>
      </c>
      <c r="C90" s="250">
        <f>'F.LAP'!C90</f>
      </c>
    </row>
    <row r="91" spans="1:3" ht="15">
      <c r="A91" s="250">
        <f>'F.LAP'!A91</f>
        <v>0</v>
      </c>
      <c r="C91" s="250">
        <f>'F.LAP'!C91</f>
      </c>
    </row>
    <row r="92" spans="1:3" ht="15">
      <c r="A92" s="250">
        <f>'F.LAP'!A92</f>
        <v>0</v>
      </c>
      <c r="C92" s="250">
        <f>'F.LAP'!C92</f>
      </c>
    </row>
  </sheetData>
  <sheetProtection password="C1DD" sheet="1" objects="1" scenarios="1"/>
  <mergeCells count="51">
    <mergeCell ref="A10:C10"/>
    <mergeCell ref="D10:N10"/>
    <mergeCell ref="A2:M2"/>
    <mergeCell ref="A6:N6"/>
    <mergeCell ref="A7:N7"/>
    <mergeCell ref="A8:N8"/>
    <mergeCell ref="A25:F26"/>
    <mergeCell ref="K25:N26"/>
    <mergeCell ref="A11:C11"/>
    <mergeCell ref="A12:N12"/>
    <mergeCell ref="A13:B13"/>
    <mergeCell ref="C13:N13"/>
    <mergeCell ref="A14:D14"/>
    <mergeCell ref="F14:N14"/>
    <mergeCell ref="A23:F23"/>
    <mergeCell ref="K23:N23"/>
    <mergeCell ref="A24:F24"/>
    <mergeCell ref="K24:N24"/>
    <mergeCell ref="A32:F32"/>
    <mergeCell ref="K32:M32"/>
    <mergeCell ref="A27:F27"/>
    <mergeCell ref="K27:N27"/>
    <mergeCell ref="A28:F28"/>
    <mergeCell ref="K28:N28"/>
    <mergeCell ref="A29:F29"/>
    <mergeCell ref="K29:N29"/>
    <mergeCell ref="A38:F38"/>
    <mergeCell ref="K38:M38"/>
    <mergeCell ref="A33:F33"/>
    <mergeCell ref="K33:N33"/>
    <mergeCell ref="A30:F30"/>
    <mergeCell ref="K30:N30"/>
    <mergeCell ref="A31:F31"/>
    <mergeCell ref="K31:M31"/>
    <mergeCell ref="A39:F39"/>
    <mergeCell ref="K39:M39"/>
    <mergeCell ref="A34:F34"/>
    <mergeCell ref="K34:N34"/>
    <mergeCell ref="A35:F35"/>
    <mergeCell ref="K35:M35"/>
    <mergeCell ref="A36:F36"/>
    <mergeCell ref="A37:F37"/>
    <mergeCell ref="K37:M37"/>
    <mergeCell ref="K36:M36"/>
    <mergeCell ref="B55:L55"/>
    <mergeCell ref="A40:F40"/>
    <mergeCell ref="K40:M40"/>
    <mergeCell ref="A45:C45"/>
    <mergeCell ref="A46:N46"/>
    <mergeCell ref="D50:N50"/>
    <mergeCell ref="A47:N47"/>
  </mergeCells>
  <printOptions/>
  <pageMargins left="0.75" right="0.75" top="1" bottom="1" header="0.5" footer="0.5"/>
  <pageSetup horizontalDpi="1200" verticalDpi="1200" orientation="portrait" paperSize="9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G92"/>
  <sheetViews>
    <sheetView showGridLines="0" view="pageBreakPreview" zoomScaleSheetLayoutView="100" zoomScalePageLayoutView="0" workbookViewId="0" topLeftCell="A17">
      <selection activeCell="A39" sqref="A39:F39"/>
    </sheetView>
  </sheetViews>
  <sheetFormatPr defaultColWidth="9.140625" defaultRowHeight="12.75"/>
  <cols>
    <col min="1" max="1" width="4.8515625" style="250" customWidth="1"/>
    <col min="2" max="2" width="10.57421875" style="250" customWidth="1"/>
    <col min="3" max="3" width="20.28125" style="250" customWidth="1"/>
    <col min="4" max="4" width="12.7109375" style="250" customWidth="1"/>
    <col min="5" max="5" width="4.140625" style="250" customWidth="1"/>
    <col min="6" max="6" width="9.7109375" style="250" customWidth="1"/>
    <col min="7" max="10" width="0" style="250" hidden="1" customWidth="1"/>
    <col min="11" max="11" width="4.8515625" style="250" customWidth="1"/>
    <col min="12" max="12" width="3.00390625" style="250" customWidth="1"/>
    <col min="13" max="13" width="4.57421875" style="250" customWidth="1"/>
    <col min="14" max="14" width="10.421875" style="250" customWidth="1"/>
    <col min="15" max="15" width="9.140625" style="711" hidden="1" customWidth="1"/>
    <col min="16" max="16" width="7.140625" style="711" hidden="1" customWidth="1"/>
    <col min="17" max="17" width="5.421875" style="325" customWidth="1"/>
    <col min="18" max="18" width="0" style="250" hidden="1" customWidth="1"/>
    <col min="19" max="19" width="4.57421875" style="250" customWidth="1"/>
    <col min="20" max="25" width="0" style="250" hidden="1" customWidth="1"/>
    <col min="26" max="26" width="9.140625" style="250" customWidth="1"/>
    <col min="27" max="27" width="13.57421875" style="250" customWidth="1"/>
    <col min="28" max="30" width="9.140625" style="250" customWidth="1"/>
    <col min="31" max="31" width="9.8515625" style="250" bestFit="1" customWidth="1"/>
    <col min="32" max="33" width="9.28125" style="250" bestFit="1" customWidth="1"/>
    <col min="34" max="16384" width="9.140625" style="250" customWidth="1"/>
  </cols>
  <sheetData>
    <row r="1" ht="15" customHeight="1" hidden="1"/>
    <row r="2" spans="1:14" ht="23.25" customHeight="1">
      <c r="A2" s="1285" t="s">
        <v>291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466" t="s">
        <v>292</v>
      </c>
    </row>
    <row r="3" ht="3.75" customHeight="1" hidden="1"/>
    <row r="4" spans="1:13" ht="21.75" customHeight="1">
      <c r="A4" s="1285" t="s">
        <v>293</v>
      </c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</row>
    <row r="5" spans="1:16" ht="18.75" customHeight="1">
      <c r="A5" s="491">
        <f>'A.LAP'!A5</f>
        <v>2012</v>
      </c>
      <c r="B5" s="468" t="s">
        <v>357</v>
      </c>
      <c r="C5" s="469">
        <f>'F.LAP'!C5</f>
        <v>0</v>
      </c>
      <c r="D5" s="468" t="s">
        <v>286</v>
      </c>
      <c r="E5" s="468"/>
      <c r="F5" s="468"/>
      <c r="G5" s="468"/>
      <c r="H5" s="468"/>
      <c r="I5" s="468"/>
      <c r="J5" s="468"/>
      <c r="K5" s="468"/>
      <c r="L5" s="468"/>
      <c r="M5" s="468"/>
      <c r="N5" s="470"/>
      <c r="O5" s="712"/>
      <c r="P5" s="713"/>
    </row>
    <row r="6" spans="1:14" ht="18.75" customHeight="1">
      <c r="A6" s="1267" t="s">
        <v>359</v>
      </c>
      <c r="B6" s="1267"/>
      <c r="C6" s="1267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</row>
    <row r="7" spans="1:14" ht="18.75" customHeight="1">
      <c r="A7" s="1267" t="s">
        <v>360</v>
      </c>
      <c r="B7" s="1267"/>
      <c r="C7" s="1267"/>
      <c r="D7" s="1267"/>
      <c r="E7" s="1267"/>
      <c r="F7" s="1267"/>
      <c r="G7" s="1267"/>
      <c r="H7" s="1267"/>
      <c r="I7" s="1267"/>
      <c r="J7" s="1267"/>
      <c r="K7" s="1267"/>
      <c r="L7" s="1267"/>
      <c r="M7" s="1267"/>
      <c r="N7" s="1267"/>
    </row>
    <row r="8" spans="1:14" ht="18.75" customHeight="1">
      <c r="A8" s="1327" t="s">
        <v>294</v>
      </c>
      <c r="B8" s="1327"/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</row>
    <row r="9" ht="0.75" customHeight="1"/>
    <row r="10" spans="1:14" ht="13.5" customHeight="1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  <c r="N10" s="1282"/>
    </row>
    <row r="11" spans="1:14" ht="12.75" customHeight="1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2"/>
    </row>
    <row r="12" spans="1:14" ht="15.75">
      <c r="A12" s="1284">
        <f>'A.LAP'!A12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  <c r="N12" s="1284"/>
    </row>
    <row r="13" spans="1:14" ht="12.75" customHeight="1">
      <c r="A13" s="1270" t="s">
        <v>202</v>
      </c>
      <c r="B13" s="1270"/>
      <c r="C13" s="1323">
        <f>F_LAPe!C13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</row>
    <row r="14" spans="1:14" ht="14.25">
      <c r="A14" s="1274" t="s">
        <v>363</v>
      </c>
      <c r="B14" s="1274"/>
      <c r="C14" s="1274"/>
      <c r="D14" s="1274"/>
      <c r="E14" s="693"/>
      <c r="F14" s="1324">
        <f>F_LAPe!F14</f>
      </c>
      <c r="G14" s="1324"/>
      <c r="H14" s="1324"/>
      <c r="I14" s="1324"/>
      <c r="J14" s="1324"/>
      <c r="K14" s="1324"/>
      <c r="L14" s="1324"/>
      <c r="M14" s="1324"/>
      <c r="N14" s="1324"/>
    </row>
    <row r="15" spans="1:14" ht="1.5" customHeight="1">
      <c r="A15" s="240"/>
      <c r="B15" s="240"/>
      <c r="C15" s="240"/>
      <c r="D15" s="240"/>
      <c r="E15" s="240"/>
      <c r="F15" s="240"/>
      <c r="G15" s="240"/>
      <c r="H15" s="240"/>
      <c r="I15" s="240"/>
      <c r="K15" s="240"/>
      <c r="L15" s="240"/>
      <c r="M15" s="240"/>
      <c r="N15" s="240"/>
    </row>
    <row r="16" spans="1:14" ht="15" customHeight="1">
      <c r="A16" s="240"/>
      <c r="B16" s="308"/>
      <c r="C16" s="240"/>
      <c r="D16" s="240"/>
      <c r="E16" s="240"/>
      <c r="F16" s="240"/>
      <c r="G16" s="240"/>
      <c r="H16" s="240"/>
      <c r="I16" s="240"/>
      <c r="K16" s="240"/>
      <c r="L16" s="240"/>
      <c r="M16" s="240"/>
      <c r="N16" s="240"/>
    </row>
    <row r="17" spans="1:14" ht="1.5" customHeight="1">
      <c r="A17" s="240"/>
      <c r="B17" s="240"/>
      <c r="C17" s="240"/>
      <c r="D17" s="240"/>
      <c r="E17" s="240"/>
      <c r="F17" s="240"/>
      <c r="G17" s="240"/>
      <c r="H17" s="240"/>
      <c r="I17" s="240"/>
      <c r="K17" s="240"/>
      <c r="L17" s="240"/>
      <c r="M17" s="240"/>
      <c r="N17" s="240"/>
    </row>
    <row r="18" spans="1:32" ht="13.5" customHeight="1">
      <c r="A18" s="701">
        <f>IF('F.LAP'!E18="X","X","")</f>
      </c>
      <c r="B18" s="692" t="s">
        <v>848</v>
      </c>
      <c r="C18" s="298"/>
      <c r="D18" s="264"/>
      <c r="G18" s="240"/>
      <c r="H18" s="240"/>
      <c r="I18" s="240"/>
      <c r="K18" s="240"/>
      <c r="L18" s="240"/>
      <c r="M18" s="240"/>
      <c r="N18" s="240"/>
      <c r="AE18" s="250">
        <f>IF(A18="",0,1)</f>
        <v>0</v>
      </c>
      <c r="AF18" s="250">
        <f>AE18+AE20</f>
        <v>0</v>
      </c>
    </row>
    <row r="19" spans="1:32" ht="13.5" customHeight="1">
      <c r="A19" s="701">
        <f>IF('F.LAP'!E19="X","X","")</f>
      </c>
      <c r="B19" s="692" t="s">
        <v>849</v>
      </c>
      <c r="C19" s="298"/>
      <c r="D19" s="264"/>
      <c r="G19" s="240"/>
      <c r="H19" s="240"/>
      <c r="I19" s="240"/>
      <c r="K19" s="240"/>
      <c r="L19" s="240"/>
      <c r="M19" s="240"/>
      <c r="N19" s="240"/>
      <c r="AE19" s="250">
        <f>IF(A19="",0,1)</f>
        <v>0</v>
      </c>
      <c r="AF19" s="250">
        <f>AE18+AE19</f>
        <v>0</v>
      </c>
    </row>
    <row r="20" spans="1:32" ht="13.5" customHeight="1">
      <c r="A20" s="701">
        <f>IF('F.LAP'!E20="X","X","")</f>
      </c>
      <c r="B20" s="692" t="s">
        <v>850</v>
      </c>
      <c r="C20" s="298"/>
      <c r="D20" s="264"/>
      <c r="G20" s="240"/>
      <c r="H20" s="240"/>
      <c r="I20" s="240"/>
      <c r="K20" s="240"/>
      <c r="L20" s="240"/>
      <c r="M20" s="240"/>
      <c r="N20" s="240"/>
      <c r="AE20" s="250">
        <f>IF(A20="",0,1)</f>
        <v>0</v>
      </c>
      <c r="AF20" s="250">
        <f>AE19+AE20</f>
        <v>0</v>
      </c>
    </row>
    <row r="21" spans="1:14" ht="13.5" customHeight="1">
      <c r="A21" s="795"/>
      <c r="B21" s="796"/>
      <c r="C21" s="298"/>
      <c r="D21" s="264"/>
      <c r="E21" s="240"/>
      <c r="F21" s="240"/>
      <c r="G21" s="240"/>
      <c r="H21" s="240"/>
      <c r="I21" s="240"/>
      <c r="K21" s="240"/>
      <c r="L21" s="240"/>
      <c r="M21" s="240"/>
      <c r="N21" s="240"/>
    </row>
    <row r="22" spans="1:14" ht="1.5" customHeight="1">
      <c r="A22" s="240"/>
      <c r="B22" s="240"/>
      <c r="C22" s="240"/>
      <c r="D22" s="240"/>
      <c r="E22" s="240"/>
      <c r="F22" s="240"/>
      <c r="G22" s="240"/>
      <c r="H22" s="240"/>
      <c r="I22" s="240"/>
      <c r="K22" s="240"/>
      <c r="L22" s="240"/>
      <c r="M22" s="240"/>
      <c r="N22" s="240"/>
    </row>
    <row r="23" spans="1:16" ht="24.75" customHeight="1">
      <c r="A23" s="1325" t="s">
        <v>392</v>
      </c>
      <c r="B23" s="1325"/>
      <c r="C23" s="1325"/>
      <c r="D23" s="1325"/>
      <c r="E23" s="1325"/>
      <c r="F23" s="1325"/>
      <c r="G23" s="492"/>
      <c r="H23" s="492"/>
      <c r="I23" s="492"/>
      <c r="J23" s="492"/>
      <c r="K23" s="1326" t="s">
        <v>365</v>
      </c>
      <c r="L23" s="1326"/>
      <c r="M23" s="1326"/>
      <c r="N23" s="1326"/>
      <c r="P23" s="714"/>
    </row>
    <row r="24" spans="1:32" ht="23.25" customHeight="1" hidden="1">
      <c r="A24" s="1316" t="s">
        <v>393</v>
      </c>
      <c r="B24" s="1316"/>
      <c r="C24" s="1316"/>
      <c r="D24" s="1316"/>
      <c r="E24" s="1316"/>
      <c r="F24" s="1316"/>
      <c r="G24" s="492"/>
      <c r="H24" s="492"/>
      <c r="I24" s="492"/>
      <c r="J24" s="492"/>
      <c r="K24" s="1315"/>
      <c r="L24" s="1315"/>
      <c r="M24" s="1315"/>
      <c r="N24" s="1315"/>
      <c r="O24" s="711">
        <f>IF(K25&gt;K24,1,0)</f>
        <v>0</v>
      </c>
      <c r="P24" s="711">
        <f>IF(K25&gt;K24," Hiba 1 - 2 sor:  a 1 nem lehet kisebb, mint 2.","")</f>
      </c>
      <c r="Q24" s="325">
        <f>IF(K24&gt;0,1,0)</f>
        <v>0</v>
      </c>
      <c r="R24" s="250">
        <f>IF(S24="",0,1)</f>
        <v>0</v>
      </c>
      <c r="S24" s="479">
        <f>IF(K24=ROUND((K24),0),"","Csak egész számot írtat be")</f>
      </c>
      <c r="V24" s="479">
        <f>IF(W24=0,"","Negatív szám!")</f>
      </c>
      <c r="W24" s="250">
        <f>IF(K24&lt;0,1,0)</f>
        <v>0</v>
      </c>
      <c r="Z24" s="493" t="s">
        <v>826</v>
      </c>
      <c r="AE24" s="250">
        <f>Q24</f>
        <v>0</v>
      </c>
      <c r="AF24" s="250">
        <f>IF((Q24+Q27)&gt;0,1,0)</f>
        <v>0</v>
      </c>
    </row>
    <row r="25" spans="1:23" ht="15" customHeight="1" hidden="1">
      <c r="A25" s="1306" t="s">
        <v>397</v>
      </c>
      <c r="B25" s="1306"/>
      <c r="C25" s="1306"/>
      <c r="D25" s="1306"/>
      <c r="E25" s="1306"/>
      <c r="F25" s="1306"/>
      <c r="G25" s="492"/>
      <c r="H25" s="492"/>
      <c r="I25" s="492"/>
      <c r="J25" s="492"/>
      <c r="K25" s="1317"/>
      <c r="L25" s="1318"/>
      <c r="M25" s="1318"/>
      <c r="N25" s="1319"/>
      <c r="Q25" s="325">
        <f aca="true" t="shared" si="0" ref="Q25:Q40">IF(K25&gt;0,1,0)</f>
        <v>0</v>
      </c>
      <c r="R25" s="250">
        <f>IF(S25="",0,1)</f>
        <v>0</v>
      </c>
      <c r="S25" s="479">
        <f>IF(K25=ROUND((K25),0),"","Csak egész számot írtat be")</f>
      </c>
      <c r="V25" s="479">
        <f>IF(W25=0,"","Negatív szám!")</f>
      </c>
      <c r="W25" s="250">
        <f aca="true" t="shared" si="1" ref="W25:W32">IF(K25&lt;0,1,0)</f>
        <v>0</v>
      </c>
    </row>
    <row r="26" spans="1:26" ht="9" customHeight="1" hidden="1">
      <c r="A26" s="1306"/>
      <c r="B26" s="1306"/>
      <c r="C26" s="1306"/>
      <c r="D26" s="1306"/>
      <c r="E26" s="1306"/>
      <c r="F26" s="1306"/>
      <c r="G26" s="492"/>
      <c r="H26" s="492"/>
      <c r="I26" s="492"/>
      <c r="J26" s="492"/>
      <c r="K26" s="1320"/>
      <c r="L26" s="1321"/>
      <c r="M26" s="1321"/>
      <c r="N26" s="1322"/>
      <c r="R26" s="250">
        <f>IF(S26="",0,1)</f>
        <v>0</v>
      </c>
      <c r="S26" s="479">
        <f>IF(K26=ROUND((K26),0),"","Csak egész számot írtat be")</f>
      </c>
      <c r="V26" s="479">
        <f>IF(W26=0,"","Negatív szám!")</f>
      </c>
      <c r="W26" s="250">
        <f t="shared" si="1"/>
        <v>0</v>
      </c>
      <c r="Z26" s="493" t="s">
        <v>826</v>
      </c>
    </row>
    <row r="27" spans="1:32" ht="22.5" customHeight="1" hidden="1">
      <c r="A27" s="1306" t="s">
        <v>394</v>
      </c>
      <c r="B27" s="1306"/>
      <c r="C27" s="1306"/>
      <c r="D27" s="1306"/>
      <c r="E27" s="1306"/>
      <c r="F27" s="1306"/>
      <c r="G27" s="492"/>
      <c r="H27" s="492"/>
      <c r="I27" s="492"/>
      <c r="J27" s="492"/>
      <c r="K27" s="1328"/>
      <c r="L27" s="1329"/>
      <c r="M27" s="1329"/>
      <c r="N27" s="1330"/>
      <c r="O27" s="711">
        <f>IF(K28&gt;K27,1,0)</f>
        <v>0</v>
      </c>
      <c r="P27" s="711">
        <f>IF(K28&gt;K27," Hiba 3 - 4 sor: a 4 nem lehet kisebb, mint 3.","")</f>
      </c>
      <c r="Q27" s="325">
        <f t="shared" si="0"/>
        <v>0</v>
      </c>
      <c r="R27" s="250">
        <f>IF(S27="",0,1)</f>
        <v>0</v>
      </c>
      <c r="S27" s="479">
        <f>IF(K27=ROUND((K27),0),"","Csak egész számot írtat be")</f>
      </c>
      <c r="V27" s="479">
        <f>IF(W27=0,"","Negatív szám!")</f>
      </c>
      <c r="W27" s="250">
        <f t="shared" si="1"/>
        <v>0</v>
      </c>
      <c r="Z27" s="493" t="s">
        <v>826</v>
      </c>
      <c r="AE27" s="250">
        <f>Q27*10</f>
        <v>0</v>
      </c>
      <c r="AF27" s="250">
        <f>Q31+AF24</f>
        <v>0</v>
      </c>
    </row>
    <row r="28" spans="1:26" ht="24.75" customHeight="1" hidden="1">
      <c r="A28" s="1306" t="s">
        <v>398</v>
      </c>
      <c r="B28" s="1306"/>
      <c r="C28" s="1306"/>
      <c r="D28" s="1306"/>
      <c r="E28" s="1306"/>
      <c r="F28" s="1306"/>
      <c r="G28" s="492"/>
      <c r="H28" s="492"/>
      <c r="I28" s="492"/>
      <c r="J28" s="492"/>
      <c r="K28" s="1313"/>
      <c r="L28" s="1313"/>
      <c r="M28" s="1313"/>
      <c r="N28" s="1313"/>
      <c r="Q28" s="325">
        <f t="shared" si="0"/>
        <v>0</v>
      </c>
      <c r="R28" s="250">
        <f>IF(S28="",0,1)</f>
        <v>0</v>
      </c>
      <c r="S28" s="479">
        <f>IF(K28=ROUND((K28),0),"","Csak egész számot írtat be")</f>
      </c>
      <c r="V28" s="479">
        <f>IF(W28=0,"","Negatív szám!")</f>
      </c>
      <c r="W28" s="250">
        <f t="shared" si="1"/>
        <v>0</v>
      </c>
      <c r="Z28" s="493" t="s">
        <v>826</v>
      </c>
    </row>
    <row r="29" spans="1:31" ht="33.75" customHeight="1" hidden="1">
      <c r="A29" s="1306" t="s">
        <v>832</v>
      </c>
      <c r="B29" s="1306"/>
      <c r="C29" s="1306"/>
      <c r="D29" s="1306"/>
      <c r="E29" s="1306"/>
      <c r="F29" s="1306"/>
      <c r="G29" s="492"/>
      <c r="H29" s="492"/>
      <c r="I29" s="492"/>
      <c r="J29" s="492"/>
      <c r="K29" s="1313"/>
      <c r="L29" s="1313"/>
      <c r="M29" s="1313"/>
      <c r="N29" s="1313"/>
      <c r="O29" s="711">
        <f>IF(K30&gt;K29,1,0)</f>
        <v>0</v>
      </c>
      <c r="P29" s="711">
        <f>IF(K30&gt;K29," Hiba 5 - 6 sor:  a 5 nem lehet kisebb, mint 6.","")</f>
      </c>
      <c r="Q29" s="325">
        <f t="shared" si="0"/>
        <v>0</v>
      </c>
      <c r="S29" s="479"/>
      <c r="V29" s="479"/>
      <c r="W29" s="250">
        <f t="shared" si="1"/>
        <v>0</v>
      </c>
      <c r="Y29" s="494"/>
      <c r="AA29" s="494">
        <f>K29+K31</f>
        <v>0</v>
      </c>
      <c r="AE29" s="250">
        <f>Q29*100</f>
        <v>0</v>
      </c>
    </row>
    <row r="30" spans="1:23" ht="33.75" customHeight="1" hidden="1">
      <c r="A30" s="1306" t="s">
        <v>833</v>
      </c>
      <c r="B30" s="1306"/>
      <c r="C30" s="1306"/>
      <c r="D30" s="1306"/>
      <c r="E30" s="1306"/>
      <c r="F30" s="1306"/>
      <c r="G30" s="492"/>
      <c r="H30" s="492"/>
      <c r="I30" s="492"/>
      <c r="J30" s="492"/>
      <c r="K30" s="1313"/>
      <c r="L30" s="1313"/>
      <c r="M30" s="1313"/>
      <c r="N30" s="1313"/>
      <c r="Q30" s="325">
        <f t="shared" si="0"/>
        <v>0</v>
      </c>
      <c r="S30" s="479"/>
      <c r="V30" s="479"/>
      <c r="W30" s="250">
        <f t="shared" si="1"/>
        <v>0</v>
      </c>
    </row>
    <row r="31" spans="1:31" ht="24.75" customHeight="1" hidden="1">
      <c r="A31" s="1306" t="s">
        <v>846</v>
      </c>
      <c r="B31" s="1306"/>
      <c r="C31" s="1306"/>
      <c r="D31" s="1306"/>
      <c r="E31" s="1306"/>
      <c r="F31" s="1306"/>
      <c r="G31" s="492"/>
      <c r="H31" s="492"/>
      <c r="I31" s="492"/>
      <c r="J31" s="492"/>
      <c r="K31" s="1307"/>
      <c r="L31" s="1307"/>
      <c r="M31" s="1307"/>
      <c r="N31" s="694" t="s">
        <v>395</v>
      </c>
      <c r="O31" s="711">
        <f>IF(K32&gt;K31,1,0)</f>
        <v>0</v>
      </c>
      <c r="P31" s="711">
        <f>IF(K32&gt;K31," Hiba 7 - 8 sor:  a 7 nem lehet kisebb, mint 8.","")</f>
      </c>
      <c r="Q31" s="325">
        <f t="shared" si="0"/>
        <v>0</v>
      </c>
      <c r="R31" s="250">
        <f>SUM(R24:R29)</f>
        <v>0</v>
      </c>
      <c r="S31" s="479"/>
      <c r="V31" s="479"/>
      <c r="W31" s="250">
        <f t="shared" si="1"/>
        <v>0</v>
      </c>
      <c r="Y31" s="494"/>
      <c r="AA31" s="494">
        <f>K30+K32</f>
        <v>0</v>
      </c>
      <c r="AE31" s="250">
        <f>Q31*1000</f>
        <v>0</v>
      </c>
    </row>
    <row r="32" spans="1:23" ht="39.75" customHeight="1" hidden="1">
      <c r="A32" s="1306" t="s">
        <v>847</v>
      </c>
      <c r="B32" s="1306"/>
      <c r="C32" s="1306"/>
      <c r="D32" s="1306"/>
      <c r="E32" s="1306"/>
      <c r="F32" s="1306"/>
      <c r="G32" s="240"/>
      <c r="H32" s="240"/>
      <c r="I32" s="240"/>
      <c r="J32" s="240"/>
      <c r="K32" s="1307"/>
      <c r="L32" s="1307"/>
      <c r="M32" s="1307"/>
      <c r="N32" s="495" t="s">
        <v>395</v>
      </c>
      <c r="Q32" s="325">
        <f t="shared" si="0"/>
        <v>0</v>
      </c>
      <c r="S32" s="479"/>
      <c r="V32" s="479"/>
      <c r="W32" s="250">
        <f t="shared" si="1"/>
        <v>0</v>
      </c>
    </row>
    <row r="33" spans="1:31" ht="36.75" customHeight="1">
      <c r="A33" s="1306" t="s">
        <v>851</v>
      </c>
      <c r="B33" s="1306"/>
      <c r="C33" s="1306"/>
      <c r="D33" s="1306"/>
      <c r="E33" s="1306"/>
      <c r="F33" s="1306"/>
      <c r="G33" s="492"/>
      <c r="H33" s="492"/>
      <c r="I33" s="492"/>
      <c r="J33" s="492"/>
      <c r="K33" s="1313"/>
      <c r="L33" s="1313"/>
      <c r="M33" s="1313"/>
      <c r="N33" s="1313"/>
      <c r="P33" s="711">
        <f>IF(K34&gt;K33," Hiba 9 - 10 sor:  a 9 nem lehet kisebb, mint 10.","")</f>
      </c>
      <c r="Q33" s="325">
        <f t="shared" si="0"/>
        <v>0</v>
      </c>
      <c r="S33" s="479"/>
      <c r="V33" s="479"/>
      <c r="AA33" s="250">
        <f>IF(K33&gt;0,2,1)</f>
        <v>1</v>
      </c>
      <c r="AE33" s="250">
        <f>Q33*10000</f>
        <v>0</v>
      </c>
    </row>
    <row r="34" spans="1:22" ht="33.75" customHeight="1">
      <c r="A34" s="1306" t="s">
        <v>835</v>
      </c>
      <c r="B34" s="1306"/>
      <c r="C34" s="1306"/>
      <c r="D34" s="1306"/>
      <c r="E34" s="1306"/>
      <c r="F34" s="1306"/>
      <c r="G34" s="492"/>
      <c r="H34" s="492"/>
      <c r="I34" s="492"/>
      <c r="J34" s="492"/>
      <c r="K34" s="1313"/>
      <c r="L34" s="1313"/>
      <c r="M34" s="1313"/>
      <c r="N34" s="1314"/>
      <c r="Q34" s="325">
        <f t="shared" si="0"/>
        <v>0</v>
      </c>
      <c r="S34" s="479"/>
      <c r="V34" s="479"/>
    </row>
    <row r="35" spans="1:31" ht="33.75" customHeight="1">
      <c r="A35" s="1306" t="s">
        <v>836</v>
      </c>
      <c r="B35" s="1306"/>
      <c r="C35" s="1306"/>
      <c r="D35" s="1306"/>
      <c r="E35" s="1306"/>
      <c r="F35" s="1306"/>
      <c r="G35" s="240"/>
      <c r="H35" s="240"/>
      <c r="I35" s="240"/>
      <c r="J35" s="240"/>
      <c r="K35" s="1307"/>
      <c r="L35" s="1307"/>
      <c r="M35" s="1308"/>
      <c r="N35" s="691" t="s">
        <v>834</v>
      </c>
      <c r="P35" s="711">
        <f>IF(K36&gt;K35," Hiba 11 - 12 sor:  a 11 nem lehet kisebb, mint 12.","")</f>
      </c>
      <c r="Q35" s="325">
        <f t="shared" si="0"/>
        <v>0</v>
      </c>
      <c r="S35" s="479"/>
      <c r="V35" s="479"/>
      <c r="AE35" s="250">
        <f>Q35*100000</f>
        <v>0</v>
      </c>
    </row>
    <row r="36" spans="1:22" ht="33.75" customHeight="1">
      <c r="A36" s="1306" t="s">
        <v>837</v>
      </c>
      <c r="B36" s="1306"/>
      <c r="C36" s="1306"/>
      <c r="D36" s="1306"/>
      <c r="E36" s="1306"/>
      <c r="F36" s="1306"/>
      <c r="G36" s="240"/>
      <c r="H36" s="240"/>
      <c r="I36" s="240"/>
      <c r="J36" s="240"/>
      <c r="K36" s="1307"/>
      <c r="L36" s="1307"/>
      <c r="M36" s="1308"/>
      <c r="N36" s="691" t="s">
        <v>834</v>
      </c>
      <c r="Q36" s="325">
        <f t="shared" si="0"/>
        <v>0</v>
      </c>
      <c r="S36" s="479"/>
      <c r="V36" s="479"/>
    </row>
    <row r="37" spans="1:32" ht="33.75" customHeight="1">
      <c r="A37" s="1306" t="s">
        <v>838</v>
      </c>
      <c r="B37" s="1306"/>
      <c r="C37" s="1306"/>
      <c r="D37" s="1306"/>
      <c r="E37" s="1306"/>
      <c r="F37" s="1306"/>
      <c r="G37" s="240"/>
      <c r="H37" s="240"/>
      <c r="I37" s="240"/>
      <c r="J37" s="240"/>
      <c r="K37" s="1307"/>
      <c r="L37" s="1307"/>
      <c r="M37" s="1308"/>
      <c r="N37" s="691" t="s">
        <v>834</v>
      </c>
      <c r="P37" s="711">
        <f>IF(K38&gt;K37," Hiba 13 - 14 sor:  a 13 nem lehet kisebb, mint 14.","")</f>
      </c>
      <c r="Q37" s="325">
        <f t="shared" si="0"/>
        <v>0</v>
      </c>
      <c r="S37" s="479"/>
      <c r="V37" s="479"/>
      <c r="AA37" s="703">
        <f>K35+K37+K39</f>
        <v>0</v>
      </c>
      <c r="AE37" s="250">
        <f>Q37*1000000</f>
        <v>0</v>
      </c>
      <c r="AF37" s="250">
        <f>IF(AA37&gt;0,1,0)</f>
        <v>0</v>
      </c>
    </row>
    <row r="38" spans="1:33" ht="33.75" customHeight="1">
      <c r="A38" s="1306" t="s">
        <v>840</v>
      </c>
      <c r="B38" s="1306"/>
      <c r="C38" s="1306"/>
      <c r="D38" s="1306"/>
      <c r="E38" s="1306"/>
      <c r="F38" s="1306"/>
      <c r="G38" s="240"/>
      <c r="H38" s="240"/>
      <c r="I38" s="240"/>
      <c r="J38" s="240"/>
      <c r="K38" s="1307"/>
      <c r="L38" s="1307"/>
      <c r="M38" s="1308"/>
      <c r="N38" s="691" t="s">
        <v>834</v>
      </c>
      <c r="Q38" s="325">
        <f t="shared" si="0"/>
        <v>0</v>
      </c>
      <c r="S38" s="479"/>
      <c r="V38" s="479"/>
      <c r="AA38" s="703">
        <f>K36+K38+K40</f>
        <v>0</v>
      </c>
      <c r="AF38" s="250">
        <f>IF((K24+K27)&gt;0,1,0)</f>
        <v>0</v>
      </c>
      <c r="AG38" s="250">
        <f>AF37+AF38</f>
        <v>0</v>
      </c>
    </row>
    <row r="39" spans="1:31" ht="33.75" customHeight="1">
      <c r="A39" s="1306" t="s">
        <v>841</v>
      </c>
      <c r="B39" s="1306"/>
      <c r="C39" s="1306"/>
      <c r="D39" s="1306"/>
      <c r="E39" s="1306"/>
      <c r="F39" s="1306"/>
      <c r="G39" s="240"/>
      <c r="H39" s="240"/>
      <c r="I39" s="240"/>
      <c r="J39" s="240"/>
      <c r="K39" s="1307"/>
      <c r="L39" s="1307"/>
      <c r="M39" s="1308"/>
      <c r="N39" s="691" t="s">
        <v>834</v>
      </c>
      <c r="P39" s="711">
        <f>IF(K40&gt;K39," Hiba 15 - 16 sor:  a 15 nem lehet kisebb, mint 16.","")</f>
      </c>
      <c r="Q39" s="325">
        <f t="shared" si="0"/>
        <v>0</v>
      </c>
      <c r="S39" s="479"/>
      <c r="V39" s="479"/>
      <c r="AE39" s="250">
        <f>Q39*1000000</f>
        <v>0</v>
      </c>
    </row>
    <row r="40" spans="1:22" ht="33.75" customHeight="1">
      <c r="A40" s="1306" t="s">
        <v>845</v>
      </c>
      <c r="B40" s="1306"/>
      <c r="C40" s="1306"/>
      <c r="D40" s="1306"/>
      <c r="E40" s="1306"/>
      <c r="F40" s="1306"/>
      <c r="G40" s="240"/>
      <c r="H40" s="240"/>
      <c r="I40" s="240"/>
      <c r="J40" s="240"/>
      <c r="K40" s="1307"/>
      <c r="L40" s="1307"/>
      <c r="M40" s="1308"/>
      <c r="N40" s="691" t="s">
        <v>834</v>
      </c>
      <c r="Q40" s="325">
        <f t="shared" si="0"/>
        <v>0</v>
      </c>
      <c r="S40" s="479"/>
      <c r="V40" s="479"/>
    </row>
    <row r="41" spans="2:31" ht="17.25" customHeight="1">
      <c r="B41" s="484" t="str">
        <f>'A.LAP'!B24</f>
        <v>Készítette:</v>
      </c>
      <c r="C41" s="485" t="str">
        <f>'F.LAP'!C41</f>
        <v>www.iparuzes.hu                   .</v>
      </c>
      <c r="R41" s="250">
        <f>R31+W29</f>
        <v>0</v>
      </c>
      <c r="AE41" s="250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276" t="str">
        <f>'F.LAP'!A45</f>
        <v>Szabadszállás</v>
      </c>
      <c r="B45" s="1276"/>
      <c r="C45" s="1276"/>
      <c r="D45" s="427">
        <f>'F.LAP'!D45</f>
        <v>2013</v>
      </c>
      <c r="E45" s="428"/>
      <c r="F45" s="486" t="s">
        <v>134</v>
      </c>
      <c r="G45" s="486"/>
      <c r="H45" s="486"/>
      <c r="I45" s="486"/>
      <c r="J45" s="486"/>
      <c r="K45" s="427">
        <f>'F.LAP'!K45</f>
        <v>0</v>
      </c>
      <c r="L45" s="486" t="s">
        <v>135</v>
      </c>
      <c r="M45" s="427">
        <f>'F.LAP'!M45</f>
        <v>0</v>
      </c>
      <c r="N45" s="250" t="s">
        <v>210</v>
      </c>
    </row>
    <row r="46" ht="6.75" customHeight="1"/>
    <row r="47" ht="2.25" customHeight="1"/>
    <row r="48" spans="4:14" ht="19.5" customHeight="1"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8"/>
    </row>
    <row r="49" spans="1:14" ht="12" customHeight="1">
      <c r="A49" s="298"/>
      <c r="B49" s="479"/>
      <c r="D49" s="1277" t="s">
        <v>388</v>
      </c>
      <c r="E49" s="1277"/>
      <c r="F49" s="1277"/>
      <c r="G49" s="1277"/>
      <c r="H49" s="1277"/>
      <c r="I49" s="1277"/>
      <c r="J49" s="1277"/>
      <c r="K49" s="1277"/>
      <c r="L49" s="1277"/>
      <c r="M49" s="1277"/>
      <c r="N49" s="1277"/>
    </row>
    <row r="50" spans="1:2" ht="9" customHeight="1">
      <c r="A50" s="695">
        <f>IF(B50="",0,1)</f>
        <v>0</v>
      </c>
      <c r="B50" s="235">
        <f>IF(O24=1,P24,"")</f>
      </c>
    </row>
    <row r="51" spans="1:2" ht="9" customHeight="1">
      <c r="A51" s="695">
        <f>IF(B51="",0,1)</f>
        <v>0</v>
      </c>
      <c r="B51" s="235">
        <f>IF(O27=1,P27,"")</f>
      </c>
    </row>
    <row r="52" spans="1:2" ht="9" customHeight="1">
      <c r="A52" s="695">
        <f>IF(R41=0,"",1)</f>
      </c>
      <c r="B52" s="235">
        <f>IF(A52="","","A lapon negatív és/vagy tört szám van!")</f>
      </c>
    </row>
    <row r="53" spans="1:2" ht="9" customHeight="1">
      <c r="A53" s="695">
        <f>IF(B53="",0,1)</f>
        <v>0</v>
      </c>
      <c r="B53" s="235"/>
    </row>
    <row r="54" spans="1:12" ht="0.75" customHeight="1">
      <c r="A54" s="298">
        <v>0</v>
      </c>
      <c r="B54" s="1305">
        <f>IF(OR((AND(K24&gt;0,K25=0)),(AND(K27&gt;0,K28=0))),"Figyelmeztetés 111 ill.113 sorban: Ki kell töltenie a 112 ill.114  sorokat! Csak kivételes esetben lehet az önkormányzati összeg nulla.","")</f>
      </c>
      <c r="C54" s="1305"/>
      <c r="D54" s="1305"/>
      <c r="E54" s="1305"/>
      <c r="F54" s="1305"/>
      <c r="G54" s="1305"/>
      <c r="H54" s="1305"/>
      <c r="I54" s="1305"/>
      <c r="J54" s="1305"/>
      <c r="K54" s="1305"/>
      <c r="L54" s="1305"/>
    </row>
    <row r="55" spans="1:14" ht="15.75">
      <c r="A55" s="298">
        <f>SUM(A48:A54)+A58</f>
        <v>0</v>
      </c>
      <c r="B55" s="301" t="str">
        <f>IF(A55=0," E L L E N Ő R Z Ö T T"," H I B Á S")</f>
        <v> E L L E N Ő R Z Ö T T</v>
      </c>
      <c r="D55" s="334" t="str">
        <f>'1. oldal'!M131</f>
        <v> VAN HIBÁS LAP !</v>
      </c>
      <c r="E55" s="334"/>
      <c r="N55" s="298">
        <f>IF(B55=" E L L E N Ő R Z Ö T T",0,1)</f>
        <v>0</v>
      </c>
    </row>
    <row r="57" spans="2:13" ht="15">
      <c r="B57" s="326"/>
      <c r="C57" s="326" t="s">
        <v>827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</row>
    <row r="58" spans="1:13" ht="15.75">
      <c r="A58" s="250">
        <f>SUM(A59:A100)</f>
        <v>0</v>
      </c>
      <c r="B58" s="326"/>
      <c r="C58" s="478">
        <f>IF(A58=1," Hibás az F lap megosztása. Hiba okát az alábbi listában találja","")</f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</row>
    <row r="59" spans="1:13" ht="15">
      <c r="A59" s="250">
        <f>IF(C59="",0,1)</f>
        <v>0</v>
      </c>
      <c r="B59" s="326"/>
      <c r="C59" s="326">
        <f>'F.LAP'!C59</f>
      </c>
      <c r="D59" s="326"/>
      <c r="E59" s="326"/>
      <c r="F59" s="326"/>
      <c r="G59" s="326"/>
      <c r="H59" s="326"/>
      <c r="I59" s="326"/>
      <c r="J59" s="326"/>
      <c r="K59" s="326"/>
      <c r="L59" s="326"/>
      <c r="M59" s="326"/>
    </row>
    <row r="60" spans="1:13" ht="15">
      <c r="A60" s="250">
        <f aca="true" t="shared" si="2" ref="A60:A92">IF(C60="",0,1)</f>
        <v>0</v>
      </c>
      <c r="B60" s="326"/>
      <c r="C60" s="326">
        <f>'F.LAP'!C60</f>
      </c>
      <c r="D60" s="326"/>
      <c r="E60" s="326"/>
      <c r="F60" s="326"/>
      <c r="G60" s="326"/>
      <c r="H60" s="326"/>
      <c r="I60" s="326"/>
      <c r="J60" s="326"/>
      <c r="K60" s="326"/>
      <c r="L60" s="326"/>
      <c r="M60" s="326"/>
    </row>
    <row r="61" spans="1:13" ht="15">
      <c r="A61" s="250">
        <f t="shared" si="2"/>
        <v>0</v>
      </c>
      <c r="B61" s="326"/>
      <c r="C61" s="326">
        <f>'F.LAP'!C61</f>
      </c>
      <c r="D61" s="326"/>
      <c r="E61" s="326"/>
      <c r="F61" s="326"/>
      <c r="G61" s="326"/>
      <c r="H61" s="326"/>
      <c r="I61" s="326"/>
      <c r="J61" s="326"/>
      <c r="K61" s="326"/>
      <c r="L61" s="326"/>
      <c r="M61" s="326"/>
    </row>
    <row r="62" spans="1:13" ht="15">
      <c r="A62" s="250">
        <f t="shared" si="2"/>
        <v>0</v>
      </c>
      <c r="B62" s="326"/>
      <c r="C62" s="326">
        <f>'F.LAP'!C62</f>
      </c>
      <c r="D62" s="326"/>
      <c r="E62" s="326"/>
      <c r="F62" s="326"/>
      <c r="G62" s="326"/>
      <c r="H62" s="326"/>
      <c r="I62" s="326"/>
      <c r="J62" s="326"/>
      <c r="K62" s="326"/>
      <c r="L62" s="326"/>
      <c r="M62" s="326"/>
    </row>
    <row r="63" spans="1:13" ht="15">
      <c r="A63" s="250">
        <f t="shared" si="2"/>
        <v>0</v>
      </c>
      <c r="B63" s="326"/>
      <c r="C63" s="326">
        <f>'F.LAP'!C63</f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</row>
    <row r="64" spans="1:13" ht="15">
      <c r="A64" s="250">
        <f t="shared" si="2"/>
        <v>0</v>
      </c>
      <c r="B64" s="326"/>
      <c r="C64" s="326">
        <f>'F.LAP'!C64</f>
      </c>
      <c r="D64" s="326"/>
      <c r="E64" s="326"/>
      <c r="F64" s="326"/>
      <c r="G64" s="326"/>
      <c r="H64" s="326"/>
      <c r="I64" s="326"/>
      <c r="J64" s="326"/>
      <c r="K64" s="326"/>
      <c r="L64" s="326"/>
      <c r="M64" s="326"/>
    </row>
    <row r="65" spans="1:13" ht="15">
      <c r="A65" s="250">
        <f t="shared" si="2"/>
        <v>0</v>
      </c>
      <c r="B65" s="326"/>
      <c r="C65" s="326">
        <f>'F.LAP'!C65</f>
      </c>
      <c r="D65" s="326"/>
      <c r="E65" s="326"/>
      <c r="F65" s="326"/>
      <c r="G65" s="326"/>
      <c r="H65" s="326"/>
      <c r="I65" s="326"/>
      <c r="J65" s="326"/>
      <c r="K65" s="326"/>
      <c r="L65" s="326"/>
      <c r="M65" s="326"/>
    </row>
    <row r="66" spans="1:13" ht="15">
      <c r="A66" s="250">
        <f t="shared" si="2"/>
        <v>0</v>
      </c>
      <c r="B66" s="326"/>
      <c r="C66" s="326">
        <f>'F.LAP'!C66</f>
      </c>
      <c r="D66" s="326"/>
      <c r="E66" s="326"/>
      <c r="F66" s="326"/>
      <c r="G66" s="326"/>
      <c r="H66" s="326"/>
      <c r="I66" s="326"/>
      <c r="J66" s="326"/>
      <c r="K66" s="326"/>
      <c r="L66" s="326"/>
      <c r="M66" s="326"/>
    </row>
    <row r="67" spans="1:13" ht="15">
      <c r="A67" s="250">
        <f t="shared" si="2"/>
        <v>0</v>
      </c>
      <c r="B67" s="326"/>
      <c r="C67" s="326">
        <f>'F.LAP'!C67</f>
      </c>
      <c r="D67" s="326"/>
      <c r="E67" s="326"/>
      <c r="F67" s="326"/>
      <c r="G67" s="326"/>
      <c r="H67" s="326"/>
      <c r="I67" s="326"/>
      <c r="J67" s="326"/>
      <c r="K67" s="326"/>
      <c r="L67" s="326"/>
      <c r="M67" s="326"/>
    </row>
    <row r="68" spans="1:3" ht="15">
      <c r="A68" s="250">
        <f t="shared" si="2"/>
        <v>0</v>
      </c>
      <c r="C68" s="326">
        <f>'F.LAP'!C68</f>
      </c>
    </row>
    <row r="69" spans="1:3" ht="15">
      <c r="A69" s="250">
        <f t="shared" si="2"/>
        <v>0</v>
      </c>
      <c r="C69" s="326">
        <f>'F.LAP'!C69</f>
      </c>
    </row>
    <row r="70" spans="1:3" ht="15">
      <c r="A70" s="250">
        <f t="shared" si="2"/>
        <v>0</v>
      </c>
      <c r="C70" s="326">
        <f>'F.LAP'!C70</f>
      </c>
    </row>
    <row r="71" spans="1:3" ht="15">
      <c r="A71" s="250">
        <f t="shared" si="2"/>
        <v>0</v>
      </c>
      <c r="C71" s="326">
        <f>'F.LAP'!C71</f>
      </c>
    </row>
    <row r="72" spans="1:3" ht="15">
      <c r="A72" s="250">
        <f t="shared" si="2"/>
        <v>0</v>
      </c>
      <c r="C72" s="326">
        <f>'F.LAP'!C72</f>
      </c>
    </row>
    <row r="73" spans="1:3" ht="15">
      <c r="A73" s="250">
        <f t="shared" si="2"/>
        <v>0</v>
      </c>
      <c r="C73" s="326">
        <f>'F.LAP'!C73</f>
      </c>
    </row>
    <row r="74" spans="1:3" ht="15">
      <c r="A74" s="250">
        <f t="shared" si="2"/>
        <v>0</v>
      </c>
      <c r="C74" s="326">
        <f>'F.LAP'!C74</f>
      </c>
    </row>
    <row r="75" spans="1:3" ht="15">
      <c r="A75" s="250">
        <f t="shared" si="2"/>
        <v>0</v>
      </c>
      <c r="C75" s="326">
        <f>'F.LAP'!C75</f>
      </c>
    </row>
    <row r="76" spans="1:3" ht="15">
      <c r="A76" s="250">
        <f t="shared" si="2"/>
        <v>0</v>
      </c>
      <c r="C76" s="326">
        <f>'F.LAP'!C76</f>
      </c>
    </row>
    <row r="77" spans="1:3" ht="15">
      <c r="A77" s="250">
        <f t="shared" si="2"/>
        <v>0</v>
      </c>
      <c r="C77" s="326">
        <f>'F.LAP'!C77</f>
      </c>
    </row>
    <row r="78" spans="1:3" ht="15">
      <c r="A78" s="250">
        <f t="shared" si="2"/>
        <v>0</v>
      </c>
      <c r="C78" s="326">
        <f>'F.LAP'!C78</f>
      </c>
    </row>
    <row r="79" spans="1:3" ht="15">
      <c r="A79" s="250">
        <f t="shared" si="2"/>
        <v>0</v>
      </c>
      <c r="C79" s="326">
        <f>'F.LAP'!C79</f>
      </c>
    </row>
    <row r="80" spans="1:3" ht="15">
      <c r="A80" s="250">
        <f t="shared" si="2"/>
        <v>0</v>
      </c>
      <c r="C80" s="326">
        <f>'F.LAP'!C80</f>
      </c>
    </row>
    <row r="81" spans="1:3" ht="15">
      <c r="A81" s="250">
        <f t="shared" si="2"/>
        <v>0</v>
      </c>
      <c r="C81" s="326">
        <f>'F.LAP'!C81</f>
      </c>
    </row>
    <row r="82" spans="1:3" ht="15">
      <c r="A82" s="250">
        <f t="shared" si="2"/>
        <v>0</v>
      </c>
      <c r="C82" s="326">
        <f>'F.LAP'!C82</f>
      </c>
    </row>
    <row r="83" spans="1:3" ht="15">
      <c r="A83" s="250">
        <f t="shared" si="2"/>
        <v>0</v>
      </c>
      <c r="C83" s="326">
        <f>'F.LAP'!C83</f>
      </c>
    </row>
    <row r="84" spans="1:3" ht="15">
      <c r="A84" s="250">
        <f t="shared" si="2"/>
        <v>0</v>
      </c>
      <c r="C84" s="326">
        <f>'F.LAP'!C84</f>
      </c>
    </row>
    <row r="85" spans="1:3" ht="15">
      <c r="A85" s="250">
        <f t="shared" si="2"/>
        <v>0</v>
      </c>
      <c r="C85" s="326">
        <f>'F.LAP'!C85</f>
      </c>
    </row>
    <row r="86" spans="1:3" ht="15">
      <c r="A86" s="250">
        <f t="shared" si="2"/>
        <v>0</v>
      </c>
      <c r="C86" s="326">
        <f>'F.LAP'!C86</f>
      </c>
    </row>
    <row r="87" spans="1:3" ht="15">
      <c r="A87" s="250">
        <f t="shared" si="2"/>
        <v>0</v>
      </c>
      <c r="C87" s="326">
        <f>'F.LAP'!C87</f>
      </c>
    </row>
    <row r="88" spans="1:3" ht="15">
      <c r="A88" s="250">
        <f t="shared" si="2"/>
        <v>0</v>
      </c>
      <c r="C88" s="326">
        <f>'F.LAP'!C88</f>
      </c>
    </row>
    <row r="89" spans="1:3" ht="15">
      <c r="A89" s="250">
        <f t="shared" si="2"/>
        <v>0</v>
      </c>
      <c r="C89" s="326">
        <f>'F.LAP'!C89</f>
      </c>
    </row>
    <row r="90" spans="1:3" ht="15">
      <c r="A90" s="250">
        <f t="shared" si="2"/>
        <v>0</v>
      </c>
      <c r="C90" s="326">
        <f>'F.LAP'!C90</f>
      </c>
    </row>
    <row r="91" spans="1:3" ht="15">
      <c r="A91" s="250">
        <f t="shared" si="2"/>
        <v>0</v>
      </c>
      <c r="C91" s="326">
        <f>'F.LAP'!C91</f>
      </c>
    </row>
    <row r="92" spans="1:3" ht="15">
      <c r="A92" s="250">
        <f t="shared" si="2"/>
        <v>0</v>
      </c>
      <c r="C92" s="326">
        <f>'F.LAP'!C92</f>
      </c>
    </row>
  </sheetData>
  <sheetProtection password="C1DD" sheet="1" objects="1" scenarios="1"/>
  <mergeCells count="50">
    <mergeCell ref="A8:N8"/>
    <mergeCell ref="A10:C10"/>
    <mergeCell ref="D10:N10"/>
    <mergeCell ref="A2:M2"/>
    <mergeCell ref="A4:M4"/>
    <mergeCell ref="A6:N6"/>
    <mergeCell ref="A7:N7"/>
    <mergeCell ref="A25:F26"/>
    <mergeCell ref="K25:N26"/>
    <mergeCell ref="A11:C11"/>
    <mergeCell ref="A12:N12"/>
    <mergeCell ref="A13:B13"/>
    <mergeCell ref="C13:N13"/>
    <mergeCell ref="A14:D14"/>
    <mergeCell ref="F14:N14"/>
    <mergeCell ref="A23:F23"/>
    <mergeCell ref="K23:N23"/>
    <mergeCell ref="A24:F24"/>
    <mergeCell ref="K24:N24"/>
    <mergeCell ref="A32:F32"/>
    <mergeCell ref="K32:M32"/>
    <mergeCell ref="A27:F27"/>
    <mergeCell ref="K27:N27"/>
    <mergeCell ref="A28:F28"/>
    <mergeCell ref="K28:N28"/>
    <mergeCell ref="A29:F29"/>
    <mergeCell ref="K29:N29"/>
    <mergeCell ref="A30:F30"/>
    <mergeCell ref="K30:N30"/>
    <mergeCell ref="A31:F31"/>
    <mergeCell ref="K31:M31"/>
    <mergeCell ref="A36:F36"/>
    <mergeCell ref="K36:M36"/>
    <mergeCell ref="A33:F33"/>
    <mergeCell ref="K33:N33"/>
    <mergeCell ref="A34:F34"/>
    <mergeCell ref="K34:N34"/>
    <mergeCell ref="A35:F35"/>
    <mergeCell ref="K35:M35"/>
    <mergeCell ref="A37:F37"/>
    <mergeCell ref="K37:M37"/>
    <mergeCell ref="A39:F39"/>
    <mergeCell ref="K39:M39"/>
    <mergeCell ref="A38:F38"/>
    <mergeCell ref="K38:M38"/>
    <mergeCell ref="B54:L54"/>
    <mergeCell ref="A40:F40"/>
    <mergeCell ref="K40:M40"/>
    <mergeCell ref="A45:C45"/>
    <mergeCell ref="D49:N4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2"/>
  <sheetViews>
    <sheetView showGridLines="0" view="pageBreakPreview" zoomScaleSheetLayoutView="100" zoomScalePageLayoutView="0" workbookViewId="0" topLeftCell="A1">
      <selection activeCell="B20" sqref="B20:E20"/>
    </sheetView>
  </sheetViews>
  <sheetFormatPr defaultColWidth="9.140625" defaultRowHeight="12.75"/>
  <cols>
    <col min="1" max="1" width="4.7109375" style="250" customWidth="1"/>
    <col min="2" max="2" width="8.7109375" style="250" customWidth="1"/>
    <col min="3" max="3" width="20.28125" style="250" customWidth="1"/>
    <col min="4" max="4" width="12.7109375" style="250" customWidth="1"/>
    <col min="5" max="5" width="8.421875" style="250" customWidth="1"/>
    <col min="6" max="9" width="0" style="250" hidden="1" customWidth="1"/>
    <col min="10" max="10" width="7.7109375" style="250" customWidth="1"/>
    <col min="11" max="11" width="3.00390625" style="250" customWidth="1"/>
    <col min="12" max="12" width="6.00390625" style="250" customWidth="1"/>
    <col min="13" max="13" width="10.421875" style="250" customWidth="1"/>
    <col min="14" max="14" width="2.8515625" style="250" customWidth="1"/>
    <col min="15" max="15" width="18.57421875" style="250" hidden="1" customWidth="1"/>
    <col min="16" max="16" width="9.140625" style="250" hidden="1" customWidth="1"/>
    <col min="17" max="17" width="18.7109375" style="250" hidden="1" customWidth="1"/>
    <col min="18" max="16384" width="9.140625" style="250" customWidth="1"/>
  </cols>
  <sheetData>
    <row r="1" ht="20.25">
      <c r="M1" s="466"/>
    </row>
    <row r="2" spans="1:15" ht="18">
      <c r="A2" s="1285" t="s">
        <v>590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O2" s="545"/>
    </row>
    <row r="3" ht="14.25"/>
    <row r="4" ht="14.25"/>
    <row r="5" spans="1:18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  <c r="N5" s="240"/>
      <c r="O5" s="240"/>
      <c r="P5" s="240"/>
      <c r="Q5" s="240"/>
      <c r="R5" s="240"/>
    </row>
    <row r="6" spans="1:13" ht="14.2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</row>
    <row r="7" spans="1:13" ht="14.2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</row>
    <row r="8" ht="10.5" customHeight="1"/>
    <row r="9" spans="1:18" ht="14.25">
      <c r="A9" s="1281" t="s">
        <v>361</v>
      </c>
      <c r="B9" s="1281"/>
      <c r="C9" s="1281"/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240"/>
      <c r="O9" s="240"/>
      <c r="P9" s="240"/>
      <c r="Q9" s="240"/>
      <c r="R9" s="240"/>
    </row>
    <row r="10" spans="1:18" ht="14.25">
      <c r="A10" s="1270" t="s">
        <v>391</v>
      </c>
      <c r="B10" s="1270"/>
      <c r="C10" s="1270"/>
      <c r="D10" s="471"/>
      <c r="E10" s="471"/>
      <c r="F10" s="471"/>
      <c r="G10" s="471"/>
      <c r="H10" s="471"/>
      <c r="I10" s="471"/>
      <c r="J10" s="471"/>
      <c r="K10" s="471"/>
      <c r="L10" s="471"/>
      <c r="M10" s="472"/>
      <c r="N10" s="240"/>
      <c r="O10" s="240"/>
      <c r="P10" s="240"/>
      <c r="Q10" s="240"/>
      <c r="R10" s="240"/>
    </row>
    <row r="11" spans="1:18" ht="15.75">
      <c r="A11" s="1283">
        <f>'1. oldal'!K69</f>
        <v>0</v>
      </c>
      <c r="B11" s="1284"/>
      <c r="C11" s="1284"/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240"/>
      <c r="O11" s="240"/>
      <c r="P11" s="240"/>
      <c r="Q11" s="240"/>
      <c r="R11" s="240"/>
    </row>
    <row r="12" spans="1:18" ht="15.75">
      <c r="A12" s="1270" t="s">
        <v>202</v>
      </c>
      <c r="B12" s="1270"/>
      <c r="C12" s="1323">
        <f>IF('1. oldal'!T74="","",'1. oldal'!T74)</f>
        <v>0</v>
      </c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240"/>
      <c r="O12" s="240"/>
      <c r="P12" s="240"/>
      <c r="Q12" s="240"/>
      <c r="R12" s="240"/>
    </row>
    <row r="13" spans="1:18" ht="14.25">
      <c r="A13" s="1274" t="s">
        <v>428</v>
      </c>
      <c r="B13" s="1274"/>
      <c r="C13" s="1274"/>
      <c r="D13" s="1274"/>
      <c r="E13" s="1275">
        <f>'A.LAP'!E14</f>
      </c>
      <c r="F13" s="1275"/>
      <c r="G13" s="1275"/>
      <c r="H13" s="1275"/>
      <c r="I13" s="1275"/>
      <c r="J13" s="1275"/>
      <c r="K13" s="1275"/>
      <c r="L13" s="1275"/>
      <c r="M13" s="1275"/>
      <c r="N13" s="240"/>
      <c r="O13" s="240"/>
      <c r="P13" s="240"/>
      <c r="Q13" s="240"/>
      <c r="R13" s="240"/>
    </row>
    <row r="14" spans="1:13" ht="14.25">
      <c r="A14" s="1274"/>
      <c r="B14" s="1274"/>
      <c r="C14" s="1274"/>
      <c r="D14" s="1274"/>
      <c r="E14" s="1324"/>
      <c r="F14" s="1324"/>
      <c r="G14" s="1324"/>
      <c r="H14" s="1324"/>
      <c r="I14" s="1324"/>
      <c r="J14" s="1324"/>
      <c r="K14" s="1324"/>
      <c r="L14" s="1324"/>
      <c r="M14" s="1324"/>
    </row>
    <row r="15" spans="1:13" s="486" customFormat="1" ht="14.25">
      <c r="A15" s="546"/>
      <c r="B15" s="546"/>
      <c r="C15" s="546"/>
      <c r="D15" s="546"/>
      <c r="E15" s="286"/>
      <c r="F15" s="286"/>
      <c r="G15" s="286"/>
      <c r="H15" s="286"/>
      <c r="I15" s="286"/>
      <c r="J15" s="286"/>
      <c r="K15" s="286"/>
      <c r="L15" s="286"/>
      <c r="M15" s="286"/>
    </row>
    <row r="16" spans="1:13" ht="1.5" customHeight="1">
      <c r="A16" s="240"/>
      <c r="B16" s="308"/>
      <c r="C16" s="240"/>
      <c r="D16" s="240"/>
      <c r="E16" s="240"/>
      <c r="F16" s="240"/>
      <c r="G16" s="240"/>
      <c r="H16" s="240"/>
      <c r="J16" s="240"/>
      <c r="K16" s="240"/>
      <c r="L16" s="240"/>
      <c r="M16" s="240"/>
    </row>
    <row r="17" spans="1:13" ht="9" customHeight="1">
      <c r="A17" s="240"/>
      <c r="B17" s="1338"/>
      <c r="C17" s="1338"/>
      <c r="D17" s="1338"/>
      <c r="E17" s="1338"/>
      <c r="F17" s="1338"/>
      <c r="G17" s="1338"/>
      <c r="H17" s="1338"/>
      <c r="I17" s="1338"/>
      <c r="J17" s="1338"/>
      <c r="K17" s="1338"/>
      <c r="L17" s="1338"/>
      <c r="M17" s="1338"/>
    </row>
    <row r="18" spans="1:17" ht="30" customHeight="1" hidden="1">
      <c r="A18" s="547" t="s">
        <v>241</v>
      </c>
      <c r="B18" s="1339" t="s">
        <v>591</v>
      </c>
      <c r="C18" s="1340"/>
      <c r="D18" s="1340"/>
      <c r="E18" s="1280"/>
      <c r="F18" s="492"/>
      <c r="G18" s="492"/>
      <c r="H18" s="492"/>
      <c r="I18" s="492"/>
      <c r="J18" s="1315">
        <v>100000</v>
      </c>
      <c r="K18" s="1315"/>
      <c r="L18" s="1315"/>
      <c r="M18" s="1315"/>
      <c r="N18" s="479"/>
      <c r="O18" s="531"/>
      <c r="Q18" s="542"/>
    </row>
    <row r="19" spans="1:15" ht="14.25">
      <c r="A19" s="547" t="s">
        <v>241</v>
      </c>
      <c r="B19" s="1336" t="s">
        <v>592</v>
      </c>
      <c r="C19" s="1336"/>
      <c r="D19" s="1336"/>
      <c r="E19" s="1336"/>
      <c r="F19" s="492"/>
      <c r="G19" s="492"/>
      <c r="H19" s="492"/>
      <c r="I19" s="492"/>
      <c r="J19" s="1337">
        <v>1</v>
      </c>
      <c r="K19" s="1337"/>
      <c r="L19" s="1337"/>
      <c r="M19" s="1337"/>
      <c r="O19" s="298">
        <f>IF(J19="",0,1)</f>
        <v>1</v>
      </c>
    </row>
    <row r="20" spans="1:21" s="486" customFormat="1" ht="15" customHeight="1">
      <c r="A20" s="547" t="s">
        <v>243</v>
      </c>
      <c r="B20" s="1336" t="s">
        <v>373</v>
      </c>
      <c r="C20" s="1336"/>
      <c r="D20" s="1336"/>
      <c r="E20" s="1336"/>
      <c r="F20" s="548"/>
      <c r="G20" s="548"/>
      <c r="H20" s="548"/>
      <c r="I20" s="548"/>
      <c r="J20" s="1337">
        <v>1</v>
      </c>
      <c r="K20" s="1337"/>
      <c r="L20" s="1337"/>
      <c r="M20" s="1337"/>
      <c r="O20" s="298">
        <f>IF(J20="",0,1)</f>
        <v>1</v>
      </c>
      <c r="R20" s="549"/>
      <c r="U20" s="549"/>
    </row>
    <row r="21" spans="1:21" s="486" customFormat="1" ht="20.25" customHeight="1">
      <c r="A21" s="547" t="s">
        <v>245</v>
      </c>
      <c r="B21" s="1331" t="s">
        <v>593</v>
      </c>
      <c r="C21" s="1331"/>
      <c r="D21" s="1331"/>
      <c r="E21" s="1331"/>
      <c r="F21" s="548"/>
      <c r="G21" s="548"/>
      <c r="H21" s="548"/>
      <c r="I21" s="548"/>
      <c r="J21" s="1332" t="s">
        <v>694</v>
      </c>
      <c r="K21" s="1333"/>
      <c r="L21" s="1333"/>
      <c r="M21" s="1334"/>
      <c r="O21" s="298">
        <f>IF(J21="",0,1)</f>
        <v>1</v>
      </c>
      <c r="R21" s="549"/>
      <c r="U21" s="549"/>
    </row>
    <row r="22" spans="1:21" s="486" customFormat="1" ht="14.25">
      <c r="A22" s="547" t="s">
        <v>247</v>
      </c>
      <c r="B22" s="1331" t="s">
        <v>594</v>
      </c>
      <c r="C22" s="1331"/>
      <c r="D22" s="1331"/>
      <c r="E22" s="1331"/>
      <c r="F22" s="548"/>
      <c r="G22" s="548"/>
      <c r="H22" s="548"/>
      <c r="I22" s="548"/>
      <c r="J22" s="1332" t="s">
        <v>694</v>
      </c>
      <c r="K22" s="1333"/>
      <c r="L22" s="1333"/>
      <c r="M22" s="1334"/>
      <c r="O22" s="298">
        <f>IF(J22="",0,1)</f>
        <v>1</v>
      </c>
      <c r="R22" s="549"/>
      <c r="U22" s="549"/>
    </row>
    <row r="23" spans="1:21" s="486" customFormat="1" ht="15" hidden="1">
      <c r="A23" s="547"/>
      <c r="B23" s="1335"/>
      <c r="C23" s="1335"/>
      <c r="D23" s="1335"/>
      <c r="E23" s="1335"/>
      <c r="F23" s="548"/>
      <c r="G23" s="548"/>
      <c r="H23" s="548"/>
      <c r="I23" s="548"/>
      <c r="J23" s="1315"/>
      <c r="K23" s="1315"/>
      <c r="L23" s="1315"/>
      <c r="M23" s="1315"/>
      <c r="O23" s="549"/>
      <c r="R23" s="549"/>
      <c r="U23" s="549"/>
    </row>
    <row r="24" spans="1:21" s="486" customFormat="1" ht="15" hidden="1">
      <c r="A24" s="547"/>
      <c r="B24" s="1335"/>
      <c r="C24" s="1335"/>
      <c r="D24" s="1335"/>
      <c r="E24" s="1335"/>
      <c r="F24" s="548"/>
      <c r="G24" s="548"/>
      <c r="H24" s="548"/>
      <c r="I24" s="548"/>
      <c r="J24" s="1315"/>
      <c r="K24" s="1315"/>
      <c r="L24" s="1315"/>
      <c r="M24" s="1315"/>
      <c r="O24" s="549"/>
      <c r="R24" s="549"/>
      <c r="U24" s="549"/>
    </row>
    <row r="25" spans="1:21" s="486" customFormat="1" ht="15" hidden="1">
      <c r="A25" s="547"/>
      <c r="B25" s="1335"/>
      <c r="C25" s="1335"/>
      <c r="D25" s="1335"/>
      <c r="E25" s="1335"/>
      <c r="F25" s="548"/>
      <c r="G25" s="548"/>
      <c r="H25" s="548"/>
      <c r="I25" s="548"/>
      <c r="J25" s="1315"/>
      <c r="K25" s="1315"/>
      <c r="L25" s="1315"/>
      <c r="M25" s="1315"/>
      <c r="O25" s="549"/>
      <c r="R25" s="549"/>
      <c r="U25" s="549"/>
    </row>
    <row r="26" spans="1:21" s="486" customFormat="1" ht="15" hidden="1">
      <c r="A26" s="547"/>
      <c r="B26" s="1335"/>
      <c r="C26" s="1335"/>
      <c r="D26" s="1335"/>
      <c r="E26" s="1335"/>
      <c r="F26" s="548"/>
      <c r="G26" s="548"/>
      <c r="H26" s="548"/>
      <c r="I26" s="548"/>
      <c r="J26" s="1315"/>
      <c r="K26" s="1315"/>
      <c r="L26" s="1315"/>
      <c r="M26" s="1315"/>
      <c r="O26" s="549"/>
      <c r="R26" s="549"/>
      <c r="U26" s="549"/>
    </row>
    <row r="27" ht="35.25" customHeight="1">
      <c r="O27" s="250">
        <f>SUM(O19:O26)</f>
        <v>4</v>
      </c>
    </row>
    <row r="28" ht="14.25">
      <c r="O28" s="250">
        <f>IF(O27=4,0,1)</f>
        <v>0</v>
      </c>
    </row>
    <row r="29" spans="1:13" ht="15.75">
      <c r="A29" s="1276" t="str">
        <f>'A.LAP'!A29</f>
        <v>Szabadszállás</v>
      </c>
      <c r="B29" s="1276"/>
      <c r="C29" s="1276"/>
      <c r="D29" s="427">
        <f>'A.LAP'!D29</f>
        <v>2013</v>
      </c>
      <c r="E29" s="486" t="s">
        <v>134</v>
      </c>
      <c r="F29" s="486"/>
      <c r="G29" s="486"/>
      <c r="H29" s="486"/>
      <c r="I29" s="486"/>
      <c r="J29" s="427">
        <f>'A.LAP'!J29</f>
      </c>
      <c r="K29" s="486" t="s">
        <v>135</v>
      </c>
      <c r="L29" s="427">
        <f>'A.LAP'!L29</f>
      </c>
      <c r="M29" s="250" t="s">
        <v>210</v>
      </c>
    </row>
    <row r="30" ht="14.25"/>
    <row r="31" ht="14.25"/>
    <row r="32" spans="10:13" ht="14.25">
      <c r="J32" s="487"/>
      <c r="K32" s="487"/>
      <c r="L32" s="487"/>
      <c r="M32" s="487"/>
    </row>
    <row r="33" spans="1:13" ht="14.25">
      <c r="A33" s="298"/>
      <c r="B33" s="479"/>
      <c r="J33" s="1277" t="s">
        <v>388</v>
      </c>
      <c r="K33" s="1277"/>
      <c r="L33" s="1277"/>
      <c r="M33" s="1277"/>
    </row>
    <row r="34" spans="1:2" ht="14.25">
      <c r="A34" s="298"/>
      <c r="B34" s="479"/>
    </row>
    <row r="35" spans="1:2" ht="14.25">
      <c r="A35" s="298">
        <f>IF(B35="",0,1)</f>
        <v>0</v>
      </c>
      <c r="B35" s="235">
        <f>IF(O28=0,"","A 2-5. Sorok kitöltése kötelező!")</f>
      </c>
    </row>
    <row r="36" spans="1:13" ht="15.75">
      <c r="A36" s="298">
        <f>SUM(A35)</f>
        <v>0</v>
      </c>
      <c r="B36" s="301" t="str">
        <f>IF(A36=0," E L L E N Ő R Z Ö T T "," H I B Á S A LAP")</f>
        <v> E L L E N Ő R Z Ö T T </v>
      </c>
      <c r="D36" s="334" t="str">
        <f>'1. oldal'!M131</f>
        <v> VAN HIBÁS LAP !</v>
      </c>
      <c r="M36" s="335">
        <f>IF(B36=" E L L E N Ő R Z Ö T T ",0,1)</f>
        <v>0</v>
      </c>
    </row>
    <row r="37" spans="1:2" ht="15">
      <c r="A37" s="298"/>
      <c r="B37" s="235"/>
    </row>
    <row r="38" spans="1:2" ht="15">
      <c r="A38" s="298"/>
      <c r="B38" s="235"/>
    </row>
    <row r="39" spans="1:2" ht="15">
      <c r="A39" s="298"/>
      <c r="B39" s="235"/>
    </row>
    <row r="40" spans="1:3" ht="20.25">
      <c r="A40" s="298"/>
      <c r="B40" s="235"/>
      <c r="C40" s="891" t="s">
        <v>595</v>
      </c>
    </row>
    <row r="41" spans="1:11" ht="15">
      <c r="A41" s="298"/>
      <c r="B41" s="1305"/>
      <c r="C41" s="1305"/>
      <c r="D41" s="1305"/>
      <c r="E41" s="1305"/>
      <c r="F41" s="1305"/>
      <c r="G41" s="1305"/>
      <c r="H41" s="1305"/>
      <c r="I41" s="1305"/>
      <c r="J41" s="1305"/>
      <c r="K41" s="1305"/>
    </row>
    <row r="42" spans="1:13" ht="15.75">
      <c r="A42" s="298"/>
      <c r="B42" s="301"/>
      <c r="D42" s="334"/>
      <c r="M42" s="298"/>
    </row>
  </sheetData>
  <sheetProtection password="CE2A" sheet="1" objects="1" scenarios="1"/>
  <mergeCells count="35">
    <mergeCell ref="A14:D14"/>
    <mergeCell ref="E14:M14"/>
    <mergeCell ref="A2:M2"/>
    <mergeCell ref="A6:M6"/>
    <mergeCell ref="A7:M7"/>
    <mergeCell ref="A9:C9"/>
    <mergeCell ref="D9:M9"/>
    <mergeCell ref="A10:C10"/>
    <mergeCell ref="A11:M11"/>
    <mergeCell ref="A12:B12"/>
    <mergeCell ref="C12:M12"/>
    <mergeCell ref="A13:D13"/>
    <mergeCell ref="E13:M13"/>
    <mergeCell ref="B23:E23"/>
    <mergeCell ref="J23:M23"/>
    <mergeCell ref="B17:M17"/>
    <mergeCell ref="B18:E18"/>
    <mergeCell ref="J18:M18"/>
    <mergeCell ref="B19:E19"/>
    <mergeCell ref="J19:M19"/>
    <mergeCell ref="A29:C29"/>
    <mergeCell ref="B20:E20"/>
    <mergeCell ref="J20:M20"/>
    <mergeCell ref="B21:E21"/>
    <mergeCell ref="J21:M21"/>
    <mergeCell ref="J33:M33"/>
    <mergeCell ref="B22:E22"/>
    <mergeCell ref="J22:M22"/>
    <mergeCell ref="B41:K41"/>
    <mergeCell ref="B25:E25"/>
    <mergeCell ref="J25:M25"/>
    <mergeCell ref="B26:E26"/>
    <mergeCell ref="J26:M26"/>
    <mergeCell ref="B24:E24"/>
    <mergeCell ref="J24:M24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V105"/>
  <sheetViews>
    <sheetView showGridLines="0" view="pageBreakPreview" zoomScaleSheetLayoutView="100" zoomScalePageLayoutView="0" workbookViewId="0" topLeftCell="A26">
      <selection activeCell="B51" sqref="B51:G51"/>
    </sheetView>
  </sheetViews>
  <sheetFormatPr defaultColWidth="5.421875" defaultRowHeight="12.75"/>
  <cols>
    <col min="1" max="1" width="5.00390625" style="916" customWidth="1"/>
    <col min="2" max="2" width="4.57421875" style="916" customWidth="1"/>
    <col min="3" max="3" width="2.7109375" style="916" customWidth="1"/>
    <col min="4" max="4" width="23.28125" style="916" customWidth="1"/>
    <col min="5" max="5" width="13.7109375" style="914" customWidth="1"/>
    <col min="6" max="6" width="5.28125" style="914" customWidth="1"/>
    <col min="7" max="7" width="4.57421875" style="914" customWidth="1"/>
    <col min="8" max="8" width="16.7109375" style="916" customWidth="1"/>
    <col min="9" max="9" width="3.00390625" style="916" customWidth="1"/>
    <col min="10" max="11" width="0.42578125" style="916" customWidth="1"/>
    <col min="12" max="12" width="0.2890625" style="916" customWidth="1"/>
    <col min="13" max="13" width="0.13671875" style="916" customWidth="1"/>
    <col min="14" max="14" width="3.8515625" style="916" customWidth="1"/>
    <col min="15" max="15" width="3.57421875" style="916" customWidth="1"/>
    <col min="16" max="16" width="3.28125" style="916" customWidth="1"/>
    <col min="17" max="17" width="12.57421875" style="916" hidden="1" customWidth="1"/>
    <col min="18" max="18" width="9.28125" style="916" hidden="1" customWidth="1"/>
    <col min="19" max="19" width="8.28125" style="916" hidden="1" customWidth="1"/>
    <col min="20" max="20" width="12.140625" style="916" hidden="1" customWidth="1"/>
    <col min="21" max="21" width="18.57421875" style="916" hidden="1" customWidth="1"/>
    <col min="22" max="29" width="5.421875" style="918" hidden="1" customWidth="1"/>
    <col min="30" max="33" width="5.421875" style="916" hidden="1" customWidth="1"/>
    <col min="34" max="34" width="0.5625" style="916" customWidth="1"/>
    <col min="35" max="35" width="5.421875" style="916" customWidth="1"/>
    <col min="36" max="36" width="5.57421875" style="916" customWidth="1"/>
    <col min="37" max="39" width="5.421875" style="916" customWidth="1"/>
    <col min="40" max="40" width="13.00390625" style="916" customWidth="1"/>
    <col min="41" max="16384" width="5.421875" style="916" customWidth="1"/>
  </cols>
  <sheetData>
    <row r="1" spans="1:35" ht="15.75" hidden="1">
      <c r="A1" s="913" t="str">
        <f>IF(A52="","",A52)</f>
        <v>II.</v>
      </c>
      <c r="B1" s="913" t="str">
        <f>IF(E52="","",E52)</f>
        <v>Alkalmazott adóalap megosztás módszere:</v>
      </c>
      <c r="C1" s="913"/>
      <c r="D1" s="913"/>
      <c r="G1" s="915"/>
      <c r="H1" s="915"/>
      <c r="I1" s="915"/>
      <c r="J1" s="915"/>
      <c r="K1" s="915">
        <f>IF(K52="","",K52)</f>
      </c>
      <c r="L1" s="915"/>
      <c r="Q1" s="917"/>
      <c r="R1" s="917"/>
      <c r="S1" s="917"/>
      <c r="T1" s="917"/>
      <c r="U1" s="917"/>
      <c r="W1" s="919"/>
      <c r="X1" s="919"/>
      <c r="Y1" s="919"/>
      <c r="Z1" s="919"/>
      <c r="AA1" s="919"/>
      <c r="AB1" s="919"/>
      <c r="AC1" s="919"/>
      <c r="AD1" s="920"/>
      <c r="AE1" s="920"/>
      <c r="AF1" s="920"/>
      <c r="AG1" s="920"/>
      <c r="AH1" s="920"/>
      <c r="AI1" s="920"/>
    </row>
    <row r="2" spans="1:35" ht="12.75" customHeight="1" hidden="1">
      <c r="A2" s="913"/>
      <c r="B2" s="913"/>
      <c r="C2" s="913"/>
      <c r="D2" s="913"/>
      <c r="E2" s="913"/>
      <c r="F2" s="913"/>
      <c r="G2" s="915"/>
      <c r="H2" s="915"/>
      <c r="I2" s="915"/>
      <c r="J2" s="915"/>
      <c r="K2" s="915"/>
      <c r="L2" s="915"/>
      <c r="Q2" s="917"/>
      <c r="R2" s="917"/>
      <c r="S2" s="917"/>
      <c r="T2" s="917"/>
      <c r="U2" s="917"/>
      <c r="W2" s="919"/>
      <c r="X2" s="919"/>
      <c r="Y2" s="919"/>
      <c r="Z2" s="919"/>
      <c r="AA2" s="919"/>
      <c r="AB2" s="919"/>
      <c r="AC2" s="919"/>
      <c r="AD2" s="920"/>
      <c r="AE2" s="920"/>
      <c r="AF2" s="920"/>
      <c r="AG2" s="920"/>
      <c r="AH2" s="920"/>
      <c r="AI2" s="920"/>
    </row>
    <row r="3" spans="1:35" ht="12.75" customHeight="1" hidden="1">
      <c r="A3" s="921"/>
      <c r="B3" s="922">
        <f>IF(K56="","",K56)</f>
      </c>
      <c r="C3" s="923"/>
      <c r="D3" s="924" t="str">
        <f>IF(E56="","",E56)</f>
        <v>1. Személyi jellegű ráfordítással arányos</v>
      </c>
      <c r="E3" s="916"/>
      <c r="F3" s="916"/>
      <c r="G3" s="915">
        <f aca="true" t="shared" si="0" ref="G3:K6">IF(G56="","",G56)</f>
      </c>
      <c r="H3" s="915">
        <f t="shared" si="0"/>
      </c>
      <c r="I3" s="915">
        <f t="shared" si="0"/>
      </c>
      <c r="J3" s="915">
        <f t="shared" si="0"/>
      </c>
      <c r="K3" s="915">
        <f t="shared" si="0"/>
      </c>
      <c r="L3" s="921"/>
      <c r="M3" s="925"/>
      <c r="N3" s="925"/>
      <c r="O3" s="925"/>
      <c r="Q3" s="926" t="e">
        <f>ROUND('F.LAP'!K24/('F.LAP'!K24+'F.LAP'!K27+'F.LAP'!K29+'F.LAP'!K31)*Q18,0)/Q18</f>
        <v>#DIV/0!</v>
      </c>
      <c r="R3" s="927" t="e">
        <f>ROUND(Q3*$H$27/'F.LAP'!AA33,6)</f>
        <v>#DIV/0!</v>
      </c>
      <c r="S3" s="928">
        <f>IF('F.LAP'!K24=0,0,ROUND('F.LAP'!K25/'F.LAP'!K24*Q18,0)/Q18)</f>
        <v>0</v>
      </c>
      <c r="T3" s="929" t="e">
        <f>ROUND(R3*S3,6)</f>
        <v>#DIV/0!</v>
      </c>
      <c r="U3" s="930">
        <f>IF(S3=0,0,T3)</f>
        <v>0</v>
      </c>
      <c r="W3" s="919"/>
      <c r="X3" s="919"/>
      <c r="Y3" s="919"/>
      <c r="Z3" s="919"/>
      <c r="AA3" s="919"/>
      <c r="AB3" s="919"/>
      <c r="AC3" s="919"/>
      <c r="AD3" s="920"/>
      <c r="AE3" s="920"/>
      <c r="AF3" s="920"/>
      <c r="AG3" s="920"/>
      <c r="AH3" s="920"/>
      <c r="AI3" s="920"/>
    </row>
    <row r="4" spans="1:35" ht="12.75" customHeight="1" hidden="1">
      <c r="A4" s="931"/>
      <c r="B4" s="922">
        <f>IF(K57="","",K57)</f>
      </c>
      <c r="C4" s="923"/>
      <c r="D4" s="924" t="str">
        <f>IF(E57="","",E57)</f>
        <v>2. Eszközérték arányos</v>
      </c>
      <c r="E4" s="916"/>
      <c r="F4" s="916"/>
      <c r="G4" s="915">
        <f t="shared" si="0"/>
      </c>
      <c r="H4" s="915">
        <f t="shared" si="0"/>
      </c>
      <c r="I4" s="915">
        <f t="shared" si="0"/>
      </c>
      <c r="J4" s="915">
        <f t="shared" si="0"/>
      </c>
      <c r="K4" s="915">
        <f t="shared" si="0"/>
      </c>
      <c r="L4" s="915"/>
      <c r="Q4" s="932" t="e">
        <f>ROUND('F.LAP'!AA31/('F.LAP'!AA29)*Q18,0)/Q18</f>
        <v>#DIV/0!</v>
      </c>
      <c r="R4" s="927" t="e">
        <f>ROUND(Q4*$H$27/'F.LAP'!AA33,6)</f>
        <v>#DIV/0!</v>
      </c>
      <c r="S4" s="928">
        <f>IF('F.LAP'!K29=0,0,ROUND('F.LAP'!AA31/'F.LAP'!AA29*Q18,0)/Q18)</f>
        <v>0</v>
      </c>
      <c r="T4" s="929" t="e">
        <f>ROUND(R4*S4,6)</f>
        <v>#DIV/0!</v>
      </c>
      <c r="U4" s="930">
        <f aca="true" t="shared" si="1" ref="U4:U9">IF(S4=0,0,R4)</f>
        <v>0</v>
      </c>
      <c r="W4" s="919"/>
      <c r="X4" s="919"/>
      <c r="Y4" s="919"/>
      <c r="Z4" s="919"/>
      <c r="AA4" s="919"/>
      <c r="AB4" s="919"/>
      <c r="AC4" s="919"/>
      <c r="AD4" s="920"/>
      <c r="AE4" s="920"/>
      <c r="AF4" s="920"/>
      <c r="AG4" s="920"/>
      <c r="AH4" s="920"/>
      <c r="AI4" s="920"/>
    </row>
    <row r="5" spans="1:35" ht="12.75" customHeight="1" hidden="1">
      <c r="A5" s="915"/>
      <c r="B5" s="922">
        <f>IF(K58="","",K58)</f>
      </c>
      <c r="C5" s="923"/>
      <c r="D5" s="933" t="str">
        <f>IF(E58="","",E58)</f>
        <v>3. Személyi jellegű ráfordítás és eszközérték arányos együtt</v>
      </c>
      <c r="E5" s="916"/>
      <c r="F5" s="916"/>
      <c r="G5" s="931"/>
      <c r="H5" s="931"/>
      <c r="I5" s="915">
        <f t="shared" si="0"/>
      </c>
      <c r="J5" s="915">
        <f t="shared" si="0"/>
      </c>
      <c r="K5" s="915">
        <f t="shared" si="0"/>
      </c>
      <c r="L5" s="915"/>
      <c r="Q5" s="926" t="e">
        <f>ROUND('F.LAP'!K27/('F.LAP'!K24+'F.LAP'!K27+'F.LAP'!K29+'F.LAP'!K31)*Q18,0)/Q18</f>
        <v>#DIV/0!</v>
      </c>
      <c r="R5" s="927" t="e">
        <f>(H27/'F.LAP'!AA33)-R3</f>
        <v>#DIV/0!</v>
      </c>
      <c r="S5" s="928">
        <f>IF('F.LAP'!K27=0,0,ROUND('F.LAP'!K28/'F.LAP'!K27*Q18,0)/Q18)</f>
        <v>0</v>
      </c>
      <c r="T5" s="929" t="e">
        <f>ROUND(R5*S5,6)</f>
        <v>#DIV/0!</v>
      </c>
      <c r="U5" s="930">
        <f>IF(S5=0,0,T5)</f>
        <v>0</v>
      </c>
      <c r="W5" s="919"/>
      <c r="X5" s="919"/>
      <c r="Y5" s="919"/>
      <c r="Z5" s="919"/>
      <c r="AA5" s="919"/>
      <c r="AB5" s="919"/>
      <c r="AC5" s="919"/>
      <c r="AD5" s="920"/>
      <c r="AE5" s="920"/>
      <c r="AF5" s="920"/>
      <c r="AG5" s="920"/>
      <c r="AH5" s="920"/>
      <c r="AI5" s="920"/>
    </row>
    <row r="6" spans="1:35" ht="12.75" customHeight="1" hidden="1">
      <c r="A6" s="915"/>
      <c r="B6" s="922">
        <f>IF(K59="","",K59)</f>
      </c>
      <c r="C6" s="923"/>
      <c r="D6" s="933" t="str">
        <f>IF(E59="","",E59)</f>
        <v>4. A Htv. 3. számú melléklet 2.2. pontja szerinti megosztás</v>
      </c>
      <c r="E6" s="916"/>
      <c r="F6" s="916"/>
      <c r="G6" s="931"/>
      <c r="H6" s="931"/>
      <c r="I6" s="915">
        <f t="shared" si="0"/>
      </c>
      <c r="J6" s="915">
        <f t="shared" si="0"/>
      </c>
      <c r="K6" s="915">
        <f t="shared" si="0"/>
      </c>
      <c r="L6" s="915"/>
      <c r="Q6" s="934" t="e">
        <f>ROUND('F.LAP'!K32/('F.LAP'!K24+'F.LAP'!K27+'F.LAP'!K29+'F.LAP'!K31)*Q18,0)/Q18</f>
        <v>#DIV/0!</v>
      </c>
      <c r="R6" s="935" t="e">
        <f>ROUND(Q6*$H$27,6)</f>
        <v>#DIV/0!</v>
      </c>
      <c r="S6" s="936">
        <f>IF('F.LAP'!K31=0,0,ROUND('F.LAP'!K32/'F.LAP'!K31*Q18,0)/Q18)</f>
        <v>0</v>
      </c>
      <c r="T6" s="937" t="e">
        <f>ROUND(R6*S6,6)</f>
        <v>#DIV/0!</v>
      </c>
      <c r="U6" s="938">
        <f>IF(S6=0,0,0)</f>
        <v>0</v>
      </c>
      <c r="W6" s="919"/>
      <c r="X6" s="919"/>
      <c r="Y6" s="919"/>
      <c r="Z6" s="919"/>
      <c r="AA6" s="919"/>
      <c r="AB6" s="919"/>
      <c r="AC6" s="919"/>
      <c r="AD6" s="920"/>
      <c r="AE6" s="920"/>
      <c r="AF6" s="920"/>
      <c r="AG6" s="920"/>
      <c r="AH6" s="920"/>
      <c r="AI6" s="920"/>
    </row>
    <row r="7" spans="2:35" ht="12.75" customHeight="1" hidden="1">
      <c r="B7" s="916">
        <f>'F.LAP'!E18</f>
      </c>
      <c r="D7" s="916" t="str">
        <f>'F.LAP'!F18</f>
        <v>5. A Htv. 3. számú melléklet 2.3 pontja szerinti megosztás</v>
      </c>
      <c r="Q7" s="939" t="e">
        <f>ROUND(('F.LAP'!K34/'F.LAP'!K33)*Q18,0)/Q18</f>
        <v>#DIV/0!</v>
      </c>
      <c r="R7" s="940" t="e">
        <f>ROUND(Q7*$H$27/2,6)</f>
        <v>#DIV/0!</v>
      </c>
      <c r="S7" s="941">
        <f>IF(B7="",0,Q7)</f>
        <v>0</v>
      </c>
      <c r="T7" s="942" t="e">
        <f>R7</f>
        <v>#DIV/0!</v>
      </c>
      <c r="U7" s="943">
        <f t="shared" si="1"/>
        <v>0</v>
      </c>
      <c r="W7" s="919"/>
      <c r="X7" s="919"/>
      <c r="Y7" s="919"/>
      <c r="Z7" s="919"/>
      <c r="AA7" s="919"/>
      <c r="AB7" s="919"/>
      <c r="AC7" s="919"/>
      <c r="AD7" s="920"/>
      <c r="AE7" s="920"/>
      <c r="AF7" s="920"/>
      <c r="AG7" s="920"/>
      <c r="AH7" s="920"/>
      <c r="AI7" s="920"/>
    </row>
    <row r="8" spans="2:21" ht="15" hidden="1">
      <c r="B8" s="916">
        <f>'F.LAP'!E19</f>
      </c>
      <c r="D8" s="916" t="str">
        <f>'F.LAP'!F19</f>
        <v>6. A Htv. 3. számú melléklet 2.4.1 pontja szerinti megosztás</v>
      </c>
      <c r="Q8" s="944" t="e">
        <f>ROUND(('F.LAP'!AA38/'F.LAP'!AA37)*Q18,0)/Q18</f>
        <v>#DIV/0!</v>
      </c>
      <c r="R8" s="927" t="e">
        <f>ROUND(Q8*$H$27,6)</f>
        <v>#DIV/0!</v>
      </c>
      <c r="S8" s="917">
        <f>IF(B8="",0,Q8)</f>
        <v>0</v>
      </c>
      <c r="T8" s="929" t="e">
        <f>R8</f>
        <v>#DIV/0!</v>
      </c>
      <c r="U8" s="930">
        <f t="shared" si="1"/>
        <v>0</v>
      </c>
    </row>
    <row r="9" spans="2:21" ht="15" hidden="1">
      <c r="B9" s="916">
        <f>'F.LAP'!E20</f>
      </c>
      <c r="D9" s="916" t="str">
        <f>'F.LAP'!F20</f>
        <v>7. A Htv. 3. számú melléklet 2.4.2 pontja szerinti megosztás</v>
      </c>
      <c r="Q9" s="945" t="e">
        <f>ROUND((('F.LAP'!AA38/'F.LAP'!AA37)*Q18),0)/Q18</f>
        <v>#DIV/0!</v>
      </c>
      <c r="R9" s="927" t="e">
        <f>ROUND(Q9*$H$27,6)</f>
        <v>#DIV/0!</v>
      </c>
      <c r="S9" s="917">
        <f>IF(B9="",0,Q9)</f>
        <v>0</v>
      </c>
      <c r="T9" s="929" t="e">
        <f>R9</f>
        <v>#DIV/0!</v>
      </c>
      <c r="U9" s="930">
        <f t="shared" si="1"/>
        <v>0</v>
      </c>
    </row>
    <row r="10" ht="12.75" customHeight="1" hidden="1"/>
    <row r="11" spans="1:21" ht="15" hidden="1">
      <c r="A11" s="915"/>
      <c r="B11" s="915"/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T11" s="946" t="e">
        <f>ROUND(T5+T4+T3+T6+T7+T8+T9,0)</f>
        <v>#DIV/0!</v>
      </c>
      <c r="U11" s="946">
        <f>ROUND(U5+U4+U3+U6+U7+U8+U9,0)</f>
        <v>0</v>
      </c>
    </row>
    <row r="12" spans="1:12" ht="15" hidden="1">
      <c r="A12" s="915"/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</row>
    <row r="13" ht="15" hidden="1"/>
    <row r="14" spans="1:39" ht="15.75">
      <c r="A14" s="947" t="s">
        <v>235</v>
      </c>
      <c r="B14" s="1386" t="s">
        <v>236</v>
      </c>
      <c r="C14" s="1386"/>
      <c r="D14" s="1386"/>
      <c r="E14" s="1386"/>
      <c r="F14" s="1386"/>
      <c r="G14" s="1386"/>
      <c r="H14" s="948"/>
      <c r="I14" s="948"/>
      <c r="J14" s="948"/>
      <c r="K14" s="948"/>
      <c r="L14" s="948"/>
      <c r="M14" s="948"/>
      <c r="N14" s="948"/>
      <c r="O14" s="914"/>
      <c r="R14" s="917" t="s">
        <v>237</v>
      </c>
      <c r="S14" s="917"/>
      <c r="T14" s="917"/>
      <c r="U14" s="917"/>
      <c r="V14" s="949"/>
      <c r="W14" s="949"/>
      <c r="X14" s="949"/>
      <c r="Y14" s="949"/>
      <c r="Z14" s="949"/>
      <c r="AA14" s="949"/>
      <c r="AB14" s="949"/>
      <c r="AC14" s="949"/>
      <c r="AD14" s="917"/>
      <c r="AE14" s="917"/>
      <c r="AF14" s="917"/>
      <c r="AG14" s="917"/>
      <c r="AH14" s="917"/>
      <c r="AI14" s="917"/>
      <c r="AJ14" s="917"/>
      <c r="AK14" s="917"/>
      <c r="AL14" s="917"/>
      <c r="AM14" s="917"/>
    </row>
    <row r="15" spans="1:39" ht="12.75" customHeight="1">
      <c r="A15" s="1387" t="s">
        <v>41</v>
      </c>
      <c r="B15" s="1388"/>
      <c r="C15" s="1388"/>
      <c r="D15" s="1388"/>
      <c r="E15" s="1388"/>
      <c r="F15" s="1388"/>
      <c r="G15" s="1389"/>
      <c r="H15" s="1393" t="s">
        <v>238</v>
      </c>
      <c r="I15" s="1395" t="s">
        <v>239</v>
      </c>
      <c r="J15" s="1395"/>
      <c r="K15" s="1395"/>
      <c r="L15" s="1395"/>
      <c r="M15" s="1395"/>
      <c r="N15" s="1395"/>
      <c r="O15" s="1395"/>
      <c r="R15" s="917" t="s">
        <v>240</v>
      </c>
      <c r="S15" s="917"/>
      <c r="T15" s="917"/>
      <c r="U15" s="917"/>
      <c r="V15" s="949"/>
      <c r="W15" s="949"/>
      <c r="X15" s="949"/>
      <c r="Y15" s="949"/>
      <c r="Z15" s="949"/>
      <c r="AA15" s="949"/>
      <c r="AB15" s="949"/>
      <c r="AC15" s="949"/>
      <c r="AD15" s="917"/>
      <c r="AE15" s="917"/>
      <c r="AF15" s="917"/>
      <c r="AG15" s="917"/>
      <c r="AH15" s="917"/>
      <c r="AI15" s="917"/>
      <c r="AJ15" s="917"/>
      <c r="AK15" s="917"/>
      <c r="AL15" s="917"/>
      <c r="AM15" s="917"/>
    </row>
    <row r="16" spans="1:39" ht="22.5" customHeight="1">
      <c r="A16" s="1390"/>
      <c r="B16" s="1391"/>
      <c r="C16" s="1391"/>
      <c r="D16" s="1391"/>
      <c r="E16" s="1391"/>
      <c r="F16" s="1391"/>
      <c r="G16" s="1392"/>
      <c r="H16" s="1394"/>
      <c r="I16" s="1395"/>
      <c r="J16" s="1395"/>
      <c r="K16" s="1395"/>
      <c r="L16" s="1395"/>
      <c r="M16" s="1395"/>
      <c r="N16" s="1395"/>
      <c r="O16" s="1395"/>
      <c r="R16" s="928" t="e">
        <f>H28/H18</f>
        <v>#DIV/0!</v>
      </c>
      <c r="S16" s="917" t="s">
        <v>35</v>
      </c>
      <c r="T16" s="917"/>
      <c r="U16" s="917"/>
      <c r="V16" s="949"/>
      <c r="W16" s="949"/>
      <c r="X16" s="949"/>
      <c r="Y16" s="949"/>
      <c r="Z16" s="949"/>
      <c r="AA16" s="949"/>
      <c r="AB16" s="949"/>
      <c r="AC16" s="949"/>
      <c r="AD16" s="917"/>
      <c r="AE16" s="917"/>
      <c r="AF16" s="917"/>
      <c r="AG16" s="917"/>
      <c r="AH16" s="917"/>
      <c r="AI16" s="917"/>
      <c r="AJ16" s="917"/>
      <c r="AK16" s="917"/>
      <c r="AL16" s="917"/>
      <c r="AM16" s="917"/>
    </row>
    <row r="17" spans="1:39" ht="24" customHeight="1">
      <c r="A17" s="950" t="s">
        <v>241</v>
      </c>
      <c r="B17" s="1384" t="s">
        <v>242</v>
      </c>
      <c r="C17" s="1384"/>
      <c r="D17" s="1384"/>
      <c r="E17" s="1384"/>
      <c r="F17" s="1384"/>
      <c r="G17" s="1385"/>
      <c r="H17" s="951">
        <f>'A.LAP'!J17+B_LAP!J17+C_LAP!J17+D_LAP!J17+E_LAP!J17</f>
        <v>0</v>
      </c>
      <c r="I17" s="952"/>
      <c r="J17" s="914"/>
      <c r="K17" s="914"/>
      <c r="L17" s="914"/>
      <c r="M17" s="914"/>
      <c r="N17" s="914"/>
      <c r="O17" s="914"/>
      <c r="Q17" s="914"/>
      <c r="R17" s="917"/>
      <c r="S17" s="917"/>
      <c r="T17" s="917"/>
      <c r="U17" s="917"/>
      <c r="V17" s="949"/>
      <c r="W17" s="949"/>
      <c r="X17" s="949"/>
      <c r="Y17" s="949"/>
      <c r="Z17" s="949"/>
      <c r="AA17" s="949"/>
      <c r="AB17" s="949"/>
      <c r="AC17" s="949"/>
      <c r="AD17" s="917"/>
      <c r="AE17" s="917"/>
      <c r="AF17" s="917"/>
      <c r="AG17" s="917"/>
      <c r="AH17" s="917"/>
      <c r="AI17" s="917"/>
      <c r="AJ17" s="917"/>
      <c r="AK17" s="917"/>
      <c r="AL17" s="917"/>
      <c r="AM17" s="917"/>
    </row>
    <row r="18" spans="1:40" ht="26.25" customHeight="1">
      <c r="A18" s="950" t="s">
        <v>243</v>
      </c>
      <c r="B18" s="1359" t="s">
        <v>29</v>
      </c>
      <c r="C18" s="1353"/>
      <c r="D18" s="1353"/>
      <c r="E18" s="1353"/>
      <c r="F18" s="1353"/>
      <c r="G18" s="1354"/>
      <c r="H18" s="951">
        <f>IF(E_LAP!A19="",'2. oldal'!H18+'2. oldal'!H19,E_LAP!K23)</f>
        <v>0</v>
      </c>
      <c r="I18" s="952"/>
      <c r="J18" s="914"/>
      <c r="K18" s="914"/>
      <c r="L18" s="914"/>
      <c r="M18" s="914"/>
      <c r="N18" s="914"/>
      <c r="O18" s="914"/>
      <c r="Q18" s="954">
        <v>100000000</v>
      </c>
      <c r="R18" s="955"/>
      <c r="S18" s="955"/>
      <c r="T18" s="917"/>
      <c r="U18" s="917"/>
      <c r="V18" s="949"/>
      <c r="W18" s="949"/>
      <c r="X18" s="949"/>
      <c r="Y18" s="949"/>
      <c r="Z18" s="949"/>
      <c r="AA18" s="949"/>
      <c r="AB18" s="949"/>
      <c r="AC18" s="949"/>
      <c r="AD18" s="917"/>
      <c r="AE18" s="917"/>
      <c r="AF18" s="917"/>
      <c r="AG18" s="917"/>
      <c r="AH18" s="917"/>
      <c r="AI18" s="917"/>
      <c r="AJ18" s="917"/>
      <c r="AK18" s="1084">
        <f>IF(H18&gt;0,1,0)</f>
        <v>0</v>
      </c>
      <c r="AL18" s="1084"/>
      <c r="AM18" s="1084">
        <f>IF('1. oldal'!C97="",0,1)</f>
        <v>0</v>
      </c>
      <c r="AN18" s="1085"/>
    </row>
    <row r="19" spans="1:40" ht="12.75" customHeight="1">
      <c r="A19" s="950"/>
      <c r="B19" s="1353" t="s">
        <v>28</v>
      </c>
      <c r="C19" s="1353"/>
      <c r="D19" s="1353"/>
      <c r="E19" s="1353"/>
      <c r="F19" s="1353"/>
      <c r="G19" s="1354"/>
      <c r="H19" s="966">
        <f>E_LAP!K21+E_LAP!K22</f>
        <v>0</v>
      </c>
      <c r="I19" s="952"/>
      <c r="J19" s="914"/>
      <c r="K19" s="914"/>
      <c r="L19" s="914"/>
      <c r="M19" s="914"/>
      <c r="N19" s="914"/>
      <c r="O19" s="914"/>
      <c r="Q19" s="956" t="e">
        <f>ROUND((H18*(ROUND(((('F.LAP'!K25+'F.LAP'!K28+'F.LAP'!AA31)/('F.LAP'!K24+'F.LAP'!K27+'F.LAP'!AA29))*Q18),0))/Q18),0)</f>
        <v>#DIV/0!</v>
      </c>
      <c r="R19" s="957" t="e">
        <f>'F.LAP'!K34/'F.LAP'!K33</f>
        <v>#DIV/0!</v>
      </c>
      <c r="S19" s="958" t="e">
        <f>'F.LAP'!K36/'F.LAP'!K35</f>
        <v>#DIV/0!</v>
      </c>
      <c r="T19" s="917" t="e">
        <f>'F.LAP'!K38/'F.LAP'!K37</f>
        <v>#DIV/0!</v>
      </c>
      <c r="U19" s="917" t="e">
        <f>'F.LAP'!K40/'F.LAP'!K39</f>
        <v>#DIV/0!</v>
      </c>
      <c r="V19" s="949"/>
      <c r="W19" s="949"/>
      <c r="X19" s="949"/>
      <c r="Y19" s="949"/>
      <c r="Z19" s="949"/>
      <c r="AA19" s="949"/>
      <c r="AB19" s="949"/>
      <c r="AC19" s="949"/>
      <c r="AD19" s="917"/>
      <c r="AE19" s="917"/>
      <c r="AF19" s="917"/>
      <c r="AG19" s="917"/>
      <c r="AH19" s="917"/>
      <c r="AI19" s="917"/>
      <c r="AJ19" s="917"/>
      <c r="AK19" s="1084">
        <f>IF(H19&gt;0,1,0)</f>
        <v>0</v>
      </c>
      <c r="AL19" s="1084"/>
      <c r="AM19" s="1084">
        <f>IF('1. oldal'!C99="",0,1)</f>
        <v>0</v>
      </c>
      <c r="AN19" s="1085"/>
    </row>
    <row r="20" spans="1:74" ht="12" customHeight="1">
      <c r="A20" s="950" t="s">
        <v>245</v>
      </c>
      <c r="B20" s="1231" t="s">
        <v>30</v>
      </c>
      <c r="C20" s="1231"/>
      <c r="D20" s="1231"/>
      <c r="E20" s="1231"/>
      <c r="F20" s="1231"/>
      <c r="G20" s="1232"/>
      <c r="H20" s="966">
        <f>'2. oldal'!H20</f>
        <v>0</v>
      </c>
      <c r="I20" s="959"/>
      <c r="J20" s="914"/>
      <c r="K20" s="914"/>
      <c r="L20" s="914"/>
      <c r="M20" s="914"/>
      <c r="N20" s="914"/>
      <c r="O20" s="914"/>
      <c r="Q20" s="707">
        <f>U11</f>
        <v>0</v>
      </c>
      <c r="R20" s="369">
        <v>0</v>
      </c>
      <c r="S20" s="369">
        <f>IF(R20=1,"Hiba 9131. Sor: Az alvállalkozói teljesítmények értéke nem lehet magasabb, mint a közvetített szolgáltatások értéke!","")</f>
      </c>
      <c r="T20" s="369"/>
      <c r="U20" s="369"/>
      <c r="V20" s="370"/>
      <c r="W20" s="370"/>
      <c r="X20" s="370"/>
      <c r="Y20" s="370"/>
      <c r="Z20" s="370"/>
      <c r="AA20" s="370"/>
      <c r="AB20" s="370"/>
      <c r="AC20" s="370"/>
      <c r="AD20" s="369"/>
      <c r="AE20" s="369"/>
      <c r="AF20" s="369"/>
      <c r="AG20" s="369"/>
      <c r="AH20" s="369"/>
      <c r="AI20" s="369"/>
      <c r="AJ20" s="960"/>
      <c r="AK20" s="1086"/>
      <c r="AL20" s="1086"/>
      <c r="AM20" s="1086">
        <f>IF('1. oldal'!C101="",0,1)</f>
        <v>0</v>
      </c>
      <c r="AN20" s="1086"/>
      <c r="AO20" s="962"/>
      <c r="AP20" s="962"/>
      <c r="AQ20" s="962"/>
      <c r="AR20" s="962"/>
      <c r="AS20" s="962"/>
      <c r="AT20" s="962"/>
      <c r="AU20" s="962"/>
      <c r="AV20" s="962"/>
      <c r="AW20" s="962"/>
      <c r="AX20" s="962"/>
      <c r="AY20" s="962"/>
      <c r="AZ20" s="962"/>
      <c r="BA20" s="962"/>
      <c r="BB20" s="962"/>
      <c r="BC20" s="962"/>
      <c r="BD20" s="962"/>
      <c r="BE20" s="962"/>
      <c r="BF20" s="962"/>
      <c r="BG20" s="962"/>
      <c r="BH20" s="962"/>
      <c r="BI20" s="962"/>
      <c r="BJ20" s="962"/>
      <c r="BK20" s="962"/>
      <c r="BL20" s="962"/>
      <c r="BM20" s="962"/>
      <c r="BN20" s="962"/>
      <c r="BO20" s="962"/>
      <c r="BP20" s="962"/>
      <c r="BQ20" s="962"/>
      <c r="BR20" s="962"/>
      <c r="BS20" s="962"/>
      <c r="BT20" s="962"/>
      <c r="BU20" s="962"/>
      <c r="BV20" s="962"/>
    </row>
    <row r="21" spans="1:74" ht="12.75" customHeight="1">
      <c r="A21" s="950" t="s">
        <v>247</v>
      </c>
      <c r="B21" s="1378" t="s">
        <v>249</v>
      </c>
      <c r="C21" s="1378"/>
      <c r="D21" s="1378"/>
      <c r="E21" s="1378"/>
      <c r="F21" s="1378"/>
      <c r="G21" s="1379"/>
      <c r="H21" s="966">
        <f>'2. oldal'!H21</f>
        <v>0</v>
      </c>
      <c r="I21" s="952"/>
      <c r="J21" s="914"/>
      <c r="K21" s="914"/>
      <c r="L21" s="914"/>
      <c r="M21" s="914"/>
      <c r="N21" s="914"/>
      <c r="O21" s="914"/>
      <c r="Q21" s="373"/>
      <c r="R21" s="1236" t="s">
        <v>250</v>
      </c>
      <c r="S21" s="1236"/>
      <c r="T21" s="1236"/>
      <c r="U21" s="1236"/>
      <c r="V21" s="1235" t="s">
        <v>251</v>
      </c>
      <c r="W21" s="1235"/>
      <c r="X21" s="1235"/>
      <c r="Y21" s="1235"/>
      <c r="Z21" s="1235" t="s">
        <v>252</v>
      </c>
      <c r="AA21" s="1235"/>
      <c r="AB21" s="1235"/>
      <c r="AC21" s="1235"/>
      <c r="AD21" s="1235" t="s">
        <v>253</v>
      </c>
      <c r="AE21" s="1235"/>
      <c r="AF21" s="1235"/>
      <c r="AG21" s="1235"/>
      <c r="AH21" s="374"/>
      <c r="AI21" s="374"/>
      <c r="AJ21" s="960"/>
      <c r="AK21" s="1084">
        <f>IF(H21&gt;0,1,0)</f>
        <v>0</v>
      </c>
      <c r="AL21" s="1086"/>
      <c r="AM21" s="1086"/>
      <c r="AN21" s="1086"/>
      <c r="AO21" s="962"/>
      <c r="AP21" s="962"/>
      <c r="AQ21" s="962"/>
      <c r="AR21" s="962"/>
      <c r="AS21" s="962"/>
      <c r="AT21" s="962"/>
      <c r="AU21" s="962"/>
      <c r="AV21" s="962"/>
      <c r="AW21" s="962"/>
      <c r="AX21" s="962"/>
      <c r="AY21" s="962"/>
      <c r="AZ21" s="962"/>
      <c r="BA21" s="962"/>
      <c r="BB21" s="962"/>
      <c r="BC21" s="962"/>
      <c r="BD21" s="962"/>
      <c r="BE21" s="962"/>
      <c r="BF21" s="962"/>
      <c r="BG21" s="962"/>
      <c r="BH21" s="962"/>
      <c r="BI21" s="962"/>
      <c r="BJ21" s="962"/>
      <c r="BK21" s="962"/>
      <c r="BL21" s="962"/>
      <c r="BM21" s="962"/>
      <c r="BN21" s="962"/>
      <c r="BO21" s="962"/>
      <c r="BP21" s="962"/>
      <c r="BQ21" s="962"/>
      <c r="BR21" s="962"/>
      <c r="BS21" s="962"/>
      <c r="BT21" s="962"/>
      <c r="BU21" s="962"/>
      <c r="BV21" s="962"/>
    </row>
    <row r="22" spans="1:74" ht="12.75" customHeight="1">
      <c r="A22" s="950" t="s">
        <v>248</v>
      </c>
      <c r="B22" s="1378" t="s">
        <v>74</v>
      </c>
      <c r="C22" s="1378"/>
      <c r="D22" s="1378"/>
      <c r="E22" s="1378"/>
      <c r="F22" s="1378"/>
      <c r="G22" s="1379"/>
      <c r="H22" s="966">
        <f>'2. oldal'!H22</f>
        <v>0</v>
      </c>
      <c r="I22" s="952"/>
      <c r="J22" s="914"/>
      <c r="K22" s="914"/>
      <c r="L22" s="914"/>
      <c r="M22" s="914"/>
      <c r="N22" s="914"/>
      <c r="O22" s="914"/>
      <c r="Q22" s="373"/>
      <c r="R22" s="1236" t="s">
        <v>250</v>
      </c>
      <c r="S22" s="1236"/>
      <c r="T22" s="1236"/>
      <c r="U22" s="1236"/>
      <c r="V22" s="1235" t="s">
        <v>251</v>
      </c>
      <c r="W22" s="1235"/>
      <c r="X22" s="1235"/>
      <c r="Y22" s="1235"/>
      <c r="Z22" s="1235" t="s">
        <v>252</v>
      </c>
      <c r="AA22" s="1235"/>
      <c r="AB22" s="1235"/>
      <c r="AC22" s="1235"/>
      <c r="AD22" s="1235" t="s">
        <v>253</v>
      </c>
      <c r="AE22" s="1235"/>
      <c r="AF22" s="1235"/>
      <c r="AG22" s="1235"/>
      <c r="AH22" s="374"/>
      <c r="AI22" s="374"/>
      <c r="AJ22" s="960"/>
      <c r="AK22" s="1084">
        <f>IF(H22&gt;0,1,0)</f>
        <v>0</v>
      </c>
      <c r="AL22" s="1086"/>
      <c r="AM22" s="1086"/>
      <c r="AN22" s="1086"/>
      <c r="AO22" s="962"/>
      <c r="AP22" s="962"/>
      <c r="AQ22" s="962"/>
      <c r="AR22" s="962"/>
      <c r="AS22" s="962"/>
      <c r="AT22" s="962"/>
      <c r="AU22" s="962"/>
      <c r="AV22" s="962"/>
      <c r="AW22" s="962"/>
      <c r="AX22" s="962"/>
      <c r="AY22" s="962"/>
      <c r="AZ22" s="962"/>
      <c r="BA22" s="962"/>
      <c r="BB22" s="962"/>
      <c r="BC22" s="962"/>
      <c r="BD22" s="962"/>
      <c r="BE22" s="962"/>
      <c r="BF22" s="962"/>
      <c r="BG22" s="962"/>
      <c r="BH22" s="962"/>
      <c r="BI22" s="962"/>
      <c r="BJ22" s="962"/>
      <c r="BK22" s="962"/>
      <c r="BL22" s="962"/>
      <c r="BM22" s="962"/>
      <c r="BN22" s="962"/>
      <c r="BO22" s="962"/>
      <c r="BP22" s="962"/>
      <c r="BQ22" s="962"/>
      <c r="BR22" s="962"/>
      <c r="BS22" s="962"/>
      <c r="BT22" s="962"/>
      <c r="BU22" s="962"/>
      <c r="BV22" s="962"/>
    </row>
    <row r="23" spans="1:74" ht="28.5" customHeight="1">
      <c r="A23" s="950" t="s">
        <v>254</v>
      </c>
      <c r="B23" s="1382" t="s">
        <v>31</v>
      </c>
      <c r="C23" s="1382"/>
      <c r="D23" s="1382"/>
      <c r="E23" s="1382"/>
      <c r="F23" s="1382"/>
      <c r="G23" s="1383"/>
      <c r="H23" s="953">
        <f>IF(E_LAP!A27="",MAX(IF(H17-H18-H19-H20-H21-H22&lt;0,0,(V23*V28+Z23*Z28+AD23*AD28+R23*R28)*Q23),0),E_LAP!K38)</f>
        <v>0</v>
      </c>
      <c r="I23" s="952"/>
      <c r="J23" s="914"/>
      <c r="K23" s="914"/>
      <c r="L23" s="914"/>
      <c r="M23" s="914"/>
      <c r="N23" s="914"/>
      <c r="O23" s="914"/>
      <c r="Q23" s="364">
        <f>IF('x2_oldal'!A54=0,1,0)</f>
        <v>1</v>
      </c>
      <c r="R23" s="1227">
        <f>H17-H18-H19-H20-H21-H22</f>
        <v>0</v>
      </c>
      <c r="S23" s="1227"/>
      <c r="T23" s="1227"/>
      <c r="U23" s="1227"/>
      <c r="V23" s="1227">
        <f>IF(('1. oldal'!C105="X"),ROUND(H17/2,0),0)</f>
        <v>0</v>
      </c>
      <c r="W23" s="1227"/>
      <c r="X23" s="1227"/>
      <c r="Y23" s="1227"/>
      <c r="Z23" s="1249">
        <f>IF('1. oldal'!C101="",0,H17*0.8)</f>
        <v>0</v>
      </c>
      <c r="AA23" s="1249"/>
      <c r="AB23" s="1249"/>
      <c r="AC23" s="1249"/>
      <c r="AD23" s="1227">
        <f>IF('1. oldal'!C97="",0,'A.LAP'!J17*1.2)</f>
        <v>0</v>
      </c>
      <c r="AE23" s="1227"/>
      <c r="AF23" s="1227"/>
      <c r="AG23" s="1227"/>
      <c r="AH23" s="375">
        <f>SUM(AH28:AH29)</f>
        <v>0</v>
      </c>
      <c r="AI23" s="376"/>
      <c r="AJ23" s="963"/>
      <c r="AK23" s="1087">
        <f>SUM(AK18:AK22)</f>
        <v>0</v>
      </c>
      <c r="AL23" s="1086"/>
      <c r="AM23" s="1086">
        <f>SUM(AM18:AM22)</f>
        <v>0</v>
      </c>
      <c r="AN23" s="1088">
        <f>IF(AM23&gt;0,AK23,0)</f>
        <v>0</v>
      </c>
      <c r="AO23" s="962"/>
      <c r="AP23" s="962"/>
      <c r="AQ23" s="962"/>
      <c r="AR23" s="962"/>
      <c r="AS23" s="962"/>
      <c r="AT23" s="962"/>
      <c r="AU23" s="962"/>
      <c r="AV23" s="962"/>
      <c r="AW23" s="962"/>
      <c r="AX23" s="962"/>
      <c r="AY23" s="962"/>
      <c r="AZ23" s="962"/>
      <c r="BA23" s="962"/>
      <c r="BB23" s="962"/>
      <c r="BC23" s="962"/>
      <c r="BD23" s="962"/>
      <c r="BE23" s="962"/>
      <c r="BF23" s="962"/>
      <c r="BG23" s="962"/>
      <c r="BH23" s="962"/>
      <c r="BI23" s="962"/>
      <c r="BJ23" s="962"/>
      <c r="BK23" s="962"/>
      <c r="BL23" s="962"/>
      <c r="BM23" s="962"/>
      <c r="BN23" s="962"/>
      <c r="BO23" s="962"/>
      <c r="BP23" s="962"/>
      <c r="BQ23" s="962"/>
      <c r="BR23" s="962"/>
      <c r="BS23" s="962"/>
      <c r="BT23" s="962"/>
      <c r="BU23" s="962"/>
      <c r="BV23" s="962"/>
    </row>
    <row r="24" spans="1:74" ht="14.25" customHeight="1">
      <c r="A24" s="950" t="s">
        <v>255</v>
      </c>
      <c r="B24" s="1378" t="s">
        <v>256</v>
      </c>
      <c r="C24" s="1378"/>
      <c r="D24" s="1378"/>
      <c r="E24" s="1378"/>
      <c r="F24" s="1378"/>
      <c r="G24" s="1379"/>
      <c r="H24" s="964">
        <f>'2. oldal'!H24</f>
        <v>0</v>
      </c>
      <c r="I24" s="952"/>
      <c r="J24" s="914"/>
      <c r="K24" s="914"/>
      <c r="L24" s="914"/>
      <c r="M24" s="914"/>
      <c r="N24" s="914"/>
      <c r="O24" s="914"/>
      <c r="Q24" s="364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5"/>
      <c r="AI24" s="376"/>
      <c r="AJ24" s="963"/>
      <c r="AK24" s="963"/>
      <c r="AL24" s="960"/>
      <c r="AM24" s="960"/>
      <c r="AN24" s="961"/>
      <c r="AO24" s="962"/>
      <c r="AP24" s="962"/>
      <c r="AQ24" s="962"/>
      <c r="AR24" s="962"/>
      <c r="AS24" s="962"/>
      <c r="AT24" s="962"/>
      <c r="AU24" s="962"/>
      <c r="AV24" s="962"/>
      <c r="AW24" s="962"/>
      <c r="AX24" s="962"/>
      <c r="AY24" s="962"/>
      <c r="AZ24" s="962"/>
      <c r="BA24" s="962"/>
      <c r="BB24" s="962"/>
      <c r="BC24" s="962"/>
      <c r="BD24" s="962"/>
      <c r="BE24" s="962"/>
      <c r="BF24" s="962"/>
      <c r="BG24" s="962"/>
      <c r="BH24" s="962"/>
      <c r="BI24" s="962"/>
      <c r="BJ24" s="962"/>
      <c r="BK24" s="962"/>
      <c r="BL24" s="962"/>
      <c r="BM24" s="962"/>
      <c r="BN24" s="962"/>
      <c r="BO24" s="962"/>
      <c r="BP24" s="962"/>
      <c r="BQ24" s="962"/>
      <c r="BR24" s="962"/>
      <c r="BS24" s="962"/>
      <c r="BT24" s="962"/>
      <c r="BU24" s="962"/>
      <c r="BV24" s="962"/>
    </row>
    <row r="25" spans="1:74" ht="26.25" customHeight="1" hidden="1">
      <c r="A25" s="950" t="s">
        <v>259</v>
      </c>
      <c r="B25" s="1380" t="s">
        <v>258</v>
      </c>
      <c r="C25" s="1380"/>
      <c r="D25" s="1380"/>
      <c r="E25" s="1380"/>
      <c r="F25" s="1380"/>
      <c r="G25" s="1381"/>
      <c r="H25" s="964"/>
      <c r="I25" s="952"/>
      <c r="J25" s="914"/>
      <c r="K25" s="914"/>
      <c r="L25" s="914"/>
      <c r="M25" s="914"/>
      <c r="N25" s="914"/>
      <c r="O25" s="914"/>
      <c r="Q25" s="364"/>
      <c r="R25" s="379">
        <f>IF('1. oldal'!C105="",0,1)</f>
        <v>0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5"/>
      <c r="AI25" s="376"/>
      <c r="AJ25" s="963"/>
      <c r="AK25" s="963"/>
      <c r="AL25" s="960"/>
      <c r="AM25" s="960"/>
      <c r="AN25" s="961"/>
      <c r="AO25" s="962"/>
      <c r="AP25" s="962"/>
      <c r="AQ25" s="962"/>
      <c r="AR25" s="962"/>
      <c r="AS25" s="962"/>
      <c r="AT25" s="962"/>
      <c r="AU25" s="962"/>
      <c r="AV25" s="962"/>
      <c r="AW25" s="962"/>
      <c r="AX25" s="962"/>
      <c r="AY25" s="962"/>
      <c r="AZ25" s="962"/>
      <c r="BA25" s="962"/>
      <c r="BB25" s="962"/>
      <c r="BC25" s="962"/>
      <c r="BD25" s="962"/>
      <c r="BE25" s="962"/>
      <c r="BF25" s="962"/>
      <c r="BG25" s="962"/>
      <c r="BH25" s="962"/>
      <c r="BI25" s="962"/>
      <c r="BJ25" s="962"/>
      <c r="BK25" s="962"/>
      <c r="BL25" s="962"/>
      <c r="BM25" s="962"/>
      <c r="BN25" s="962"/>
      <c r="BO25" s="962"/>
      <c r="BP25" s="962"/>
      <c r="BQ25" s="962"/>
      <c r="BR25" s="962"/>
      <c r="BS25" s="962"/>
      <c r="BT25" s="962"/>
      <c r="BU25" s="962"/>
      <c r="BV25" s="962"/>
    </row>
    <row r="26" spans="1:74" ht="15" customHeight="1">
      <c r="A26" s="950" t="s">
        <v>257</v>
      </c>
      <c r="B26" s="1378" t="s">
        <v>260</v>
      </c>
      <c r="C26" s="1378"/>
      <c r="D26" s="1378"/>
      <c r="E26" s="1378"/>
      <c r="F26" s="1378"/>
      <c r="G26" s="1379"/>
      <c r="H26" s="964">
        <f>'2. oldal'!H26</f>
        <v>0</v>
      </c>
      <c r="I26" s="952"/>
      <c r="J26" s="914"/>
      <c r="K26" s="914"/>
      <c r="L26" s="914"/>
      <c r="M26" s="914"/>
      <c r="N26" s="914"/>
      <c r="O26" s="914"/>
      <c r="Q26" s="364"/>
      <c r="R26" s="380">
        <f>IF('1. oldal'!C97="",0,1)</f>
        <v>0</v>
      </c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5"/>
      <c r="AI26" s="376"/>
      <c r="AJ26" s="963"/>
      <c r="AK26" s="963"/>
      <c r="AL26" s="960"/>
      <c r="AM26" s="960"/>
      <c r="AN26" s="961"/>
      <c r="AO26" s="962"/>
      <c r="AP26" s="962"/>
      <c r="AQ26" s="962"/>
      <c r="AR26" s="962"/>
      <c r="AS26" s="962"/>
      <c r="AT26" s="962"/>
      <c r="AU26" s="962"/>
      <c r="AV26" s="962"/>
      <c r="AW26" s="962"/>
      <c r="AX26" s="962"/>
      <c r="AY26" s="962"/>
      <c r="AZ26" s="962"/>
      <c r="BA26" s="962"/>
      <c r="BB26" s="962"/>
      <c r="BC26" s="962"/>
      <c r="BD26" s="962"/>
      <c r="BE26" s="962"/>
      <c r="BF26" s="962"/>
      <c r="BG26" s="962"/>
      <c r="BH26" s="962"/>
      <c r="BI26" s="962"/>
      <c r="BJ26" s="962"/>
      <c r="BK26" s="962"/>
      <c r="BL26" s="962"/>
      <c r="BM26" s="962"/>
      <c r="BN26" s="962"/>
      <c r="BO26" s="962"/>
      <c r="BP26" s="962"/>
      <c r="BQ26" s="962"/>
      <c r="BR26" s="962"/>
      <c r="BS26" s="962"/>
      <c r="BT26" s="962"/>
      <c r="BU26" s="962"/>
      <c r="BV26" s="962"/>
    </row>
    <row r="27" spans="1:74" ht="25.5" customHeight="1">
      <c r="A27" s="950" t="s">
        <v>259</v>
      </c>
      <c r="B27" s="1373" t="s">
        <v>839</v>
      </c>
      <c r="C27" s="1373"/>
      <c r="D27" s="1373"/>
      <c r="E27" s="1373"/>
      <c r="F27" s="1373"/>
      <c r="G27" s="1374"/>
      <c r="H27" s="951">
        <f>H23-H24+H26</f>
        <v>0</v>
      </c>
      <c r="I27" s="952"/>
      <c r="J27" s="914"/>
      <c r="K27" s="914"/>
      <c r="L27" s="914"/>
      <c r="M27" s="914"/>
      <c r="N27" s="914"/>
      <c r="O27" s="914"/>
      <c r="Q27" s="364"/>
      <c r="R27" s="381">
        <f>IF('1. oldal'!C101="",0,1)</f>
        <v>0</v>
      </c>
      <c r="S27" s="382">
        <f>R26+R27+R25</f>
        <v>0</v>
      </c>
      <c r="T27" s="383"/>
      <c r="U27" s="383"/>
      <c r="V27" s="370"/>
      <c r="W27" s="370"/>
      <c r="X27" s="370"/>
      <c r="Y27" s="370"/>
      <c r="Z27" s="370"/>
      <c r="AA27" s="370"/>
      <c r="AB27" s="370"/>
      <c r="AC27" s="370"/>
      <c r="AD27" s="383"/>
      <c r="AE27" s="383"/>
      <c r="AF27" s="383"/>
      <c r="AG27" s="383"/>
      <c r="AH27" s="383"/>
      <c r="AI27" s="383"/>
      <c r="AJ27" s="1375">
        <f>IF(H18&lt;750000,AT27,"")</f>
        <v>0</v>
      </c>
      <c r="AK27" s="1376"/>
      <c r="AL27" s="1376"/>
      <c r="AM27" s="1376"/>
      <c r="AN27" s="1376"/>
      <c r="AO27" s="1376"/>
      <c r="AP27" s="1376"/>
      <c r="AQ27" s="1376"/>
      <c r="AR27" s="1376"/>
      <c r="AS27" s="962"/>
      <c r="AT27" s="962"/>
      <c r="AU27" s="962"/>
      <c r="AV27" s="962"/>
      <c r="AW27" s="962"/>
      <c r="AX27" s="962"/>
      <c r="AY27" s="962"/>
      <c r="AZ27" s="962"/>
      <c r="BA27" s="962"/>
      <c r="BB27" s="962"/>
      <c r="BC27" s="962"/>
      <c r="BD27" s="962"/>
      <c r="BE27" s="962"/>
      <c r="BF27" s="962"/>
      <c r="BG27" s="962"/>
      <c r="BH27" s="962"/>
      <c r="BI27" s="962"/>
      <c r="BJ27" s="962"/>
      <c r="BK27" s="962"/>
      <c r="BL27" s="962"/>
      <c r="BM27" s="962"/>
      <c r="BN27" s="962"/>
      <c r="BO27" s="962"/>
      <c r="BP27" s="962"/>
      <c r="BQ27" s="962"/>
      <c r="BR27" s="962"/>
      <c r="BS27" s="962"/>
      <c r="BT27" s="962"/>
      <c r="BU27" s="962"/>
      <c r="BV27" s="962"/>
    </row>
    <row r="28" spans="1:74" ht="24.75" customHeight="1">
      <c r="A28" s="950" t="s">
        <v>261</v>
      </c>
      <c r="B28" s="1359" t="s">
        <v>75</v>
      </c>
      <c r="C28" s="1359"/>
      <c r="D28" s="1359"/>
      <c r="E28" s="1359"/>
      <c r="F28" s="1359"/>
      <c r="G28" s="1360"/>
      <c r="H28" s="966">
        <f>IF(H18&lt;0,0,ROUND((IF('F.LAP'!K24+'F.LAP'!K25+'F.LAP'!K27+'F.LAP'!K28+'F.LAP'!AA29+'F.LAP'!AA31+'F.LAP'!K33+'F.LAP'!K35+'F.LAP'!K37+'F.LAP'!K39=0,H27,Q20)),0))</f>
        <v>0</v>
      </c>
      <c r="I28" s="952"/>
      <c r="J28" s="914"/>
      <c r="K28" s="914"/>
      <c r="L28" s="914"/>
      <c r="M28" s="914"/>
      <c r="N28" s="914"/>
      <c r="O28" s="914"/>
      <c r="Q28" s="364">
        <f>IF(H17-H18-H19-H21&lt;0,-1,0)</f>
        <v>0</v>
      </c>
      <c r="R28" s="1225">
        <f>IF(S27=0,1,0)</f>
        <v>1</v>
      </c>
      <c r="S28" s="1225"/>
      <c r="T28" s="1225"/>
      <c r="U28" s="1225"/>
      <c r="V28" s="1226">
        <f>IF(V23=0,0,1)</f>
        <v>0</v>
      </c>
      <c r="W28" s="1226"/>
      <c r="X28" s="1226"/>
      <c r="Y28" s="1226"/>
      <c r="Z28" s="1227">
        <f>IF('1. oldal'!C101="",0,1)</f>
        <v>0</v>
      </c>
      <c r="AA28" s="1227"/>
      <c r="AB28" s="1227"/>
      <c r="AC28" s="1227"/>
      <c r="AD28" s="1226">
        <f>IF('1. oldal'!C97="",0,1)</f>
        <v>0</v>
      </c>
      <c r="AE28" s="1226"/>
      <c r="AF28" s="1226"/>
      <c r="AG28" s="1226"/>
      <c r="AH28" s="375">
        <f>IF('x2_oldal'!AA27="x",1,0)</f>
        <v>0</v>
      </c>
      <c r="AI28" s="369"/>
      <c r="AJ28" s="1377"/>
      <c r="AK28" s="1377"/>
      <c r="AL28" s="1377"/>
      <c r="AM28" s="1377"/>
      <c r="AN28" s="1377"/>
      <c r="AO28" s="1377"/>
      <c r="AP28" s="1377"/>
      <c r="AQ28" s="1377"/>
      <c r="AR28" s="1377"/>
      <c r="AS28" s="962"/>
      <c r="AT28" s="962"/>
      <c r="AU28" s="962"/>
      <c r="AV28" s="962"/>
      <c r="AW28" s="962"/>
      <c r="AX28" s="962"/>
      <c r="AY28" s="962"/>
      <c r="AZ28" s="962"/>
      <c r="BA28" s="962"/>
      <c r="BB28" s="962"/>
      <c r="BC28" s="962"/>
      <c r="BD28" s="962"/>
      <c r="BE28" s="962"/>
      <c r="BF28" s="962"/>
      <c r="BG28" s="962"/>
      <c r="BH28" s="962"/>
      <c r="BI28" s="962"/>
      <c r="BJ28" s="962"/>
      <c r="BK28" s="962"/>
      <c r="BL28" s="962"/>
      <c r="BM28" s="962"/>
      <c r="BN28" s="962"/>
      <c r="BO28" s="962"/>
      <c r="BP28" s="962"/>
      <c r="BQ28" s="962"/>
      <c r="BR28" s="962"/>
      <c r="BS28" s="962"/>
      <c r="BT28" s="962"/>
      <c r="BU28" s="962"/>
      <c r="BV28" s="962"/>
    </row>
    <row r="29" spans="1:74" ht="15" customHeight="1">
      <c r="A29" s="950" t="s">
        <v>262</v>
      </c>
      <c r="B29" s="1371" t="s">
        <v>264</v>
      </c>
      <c r="C29" s="1371"/>
      <c r="D29" s="1371"/>
      <c r="E29" s="1371"/>
      <c r="F29" s="1371"/>
      <c r="G29" s="1372"/>
      <c r="H29" s="966"/>
      <c r="I29" s="952"/>
      <c r="J29" s="914"/>
      <c r="K29" s="914"/>
      <c r="L29" s="914"/>
      <c r="M29" s="914"/>
      <c r="N29" s="914"/>
      <c r="O29" s="914"/>
      <c r="Q29" s="364">
        <f>IF(H29&gt;H28,1,0)</f>
        <v>0</v>
      </c>
      <c r="R29" s="369"/>
      <c r="S29" s="369"/>
      <c r="T29" s="369"/>
      <c r="U29" s="369"/>
      <c r="V29" s="370"/>
      <c r="W29" s="370"/>
      <c r="X29" s="370"/>
      <c r="Y29" s="370"/>
      <c r="Z29" s="385"/>
      <c r="AA29" s="386"/>
      <c r="AB29" s="386"/>
      <c r="AC29" s="386"/>
      <c r="AD29" s="1228">
        <f>H17*1.2</f>
        <v>0</v>
      </c>
      <c r="AE29" s="1228"/>
      <c r="AF29" s="1228"/>
      <c r="AG29" s="1228"/>
      <c r="AH29" s="369">
        <f>IF('x2_oldal'!P28=1,1,0)</f>
        <v>0</v>
      </c>
      <c r="AI29" s="376">
        <f>IF(AI28=1,'A.LAP'!J17*1.2,"")</f>
      </c>
      <c r="AJ29" s="963"/>
      <c r="AK29" s="963"/>
      <c r="AL29" s="960"/>
      <c r="AM29" s="960"/>
      <c r="AN29" s="961"/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2"/>
      <c r="AZ29" s="962"/>
      <c r="BA29" s="962"/>
      <c r="BB29" s="962"/>
      <c r="BC29" s="962"/>
      <c r="BD29" s="962"/>
      <c r="BE29" s="962"/>
      <c r="BF29" s="962"/>
      <c r="BG29" s="962"/>
      <c r="BH29" s="962"/>
      <c r="BI29" s="962"/>
      <c r="BJ29" s="962"/>
      <c r="BK29" s="962"/>
      <c r="BL29" s="962"/>
      <c r="BM29" s="962"/>
      <c r="BN29" s="962"/>
      <c r="BO29" s="962"/>
      <c r="BP29" s="962"/>
      <c r="BQ29" s="962"/>
      <c r="BR29" s="962"/>
      <c r="BS29" s="962"/>
      <c r="BT29" s="962"/>
      <c r="BU29" s="962"/>
      <c r="BV29" s="962"/>
    </row>
    <row r="30" spans="1:74" ht="12.75" customHeight="1" hidden="1">
      <c r="A30" s="967"/>
      <c r="B30" s="968"/>
      <c r="C30" s="968"/>
      <c r="D30" s="968"/>
      <c r="E30" s="1363"/>
      <c r="F30" s="1363"/>
      <c r="G30" s="1364"/>
      <c r="H30" s="969">
        <f>főkönyv!B97</f>
        <v>0</v>
      </c>
      <c r="I30" s="952"/>
      <c r="J30" s="914"/>
      <c r="K30" s="914"/>
      <c r="L30" s="914"/>
      <c r="M30" s="914"/>
      <c r="N30" s="914"/>
      <c r="O30" s="914"/>
      <c r="Q30" s="364"/>
      <c r="R30" s="369"/>
      <c r="S30" s="369"/>
      <c r="T30" s="369"/>
      <c r="U30" s="369"/>
      <c r="V30" s="370"/>
      <c r="W30" s="370"/>
      <c r="X30" s="370"/>
      <c r="Y30" s="370"/>
      <c r="Z30" s="370"/>
      <c r="AA30" s="370"/>
      <c r="AB30" s="370"/>
      <c r="AC30" s="370"/>
      <c r="AD30" s="1228">
        <f>'A.LAP'!O19*0.8</f>
        <v>0</v>
      </c>
      <c r="AE30" s="1228"/>
      <c r="AF30" s="1228"/>
      <c r="AG30" s="1228"/>
      <c r="AH30" s="369"/>
      <c r="AI30" s="376"/>
      <c r="AJ30" s="963"/>
      <c r="AK30" s="963"/>
      <c r="AL30" s="960"/>
      <c r="AM30" s="960"/>
      <c r="AN30" s="961"/>
      <c r="AO30" s="962"/>
      <c r="AP30" s="962"/>
      <c r="AQ30" s="962"/>
      <c r="AR30" s="962"/>
      <c r="AS30" s="962"/>
      <c r="AT30" s="962"/>
      <c r="AU30" s="962"/>
      <c r="AV30" s="962"/>
      <c r="AW30" s="962"/>
      <c r="AX30" s="962"/>
      <c r="AY30" s="962"/>
      <c r="AZ30" s="962"/>
      <c r="BA30" s="962"/>
      <c r="BB30" s="962"/>
      <c r="BC30" s="962"/>
      <c r="BD30" s="962"/>
      <c r="BE30" s="962"/>
      <c r="BF30" s="962"/>
      <c r="BG30" s="962"/>
      <c r="BH30" s="962"/>
      <c r="BI30" s="962"/>
      <c r="BJ30" s="962"/>
      <c r="BK30" s="962"/>
      <c r="BL30" s="962"/>
      <c r="BM30" s="962"/>
      <c r="BN30" s="962"/>
      <c r="BO30" s="962"/>
      <c r="BP30" s="962"/>
      <c r="BQ30" s="962"/>
      <c r="BR30" s="962"/>
      <c r="BS30" s="962"/>
      <c r="BT30" s="962"/>
      <c r="BU30" s="962"/>
      <c r="BV30" s="962"/>
    </row>
    <row r="31" spans="1:74" ht="12.75" customHeight="1" hidden="1">
      <c r="A31" s="967" t="s">
        <v>265</v>
      </c>
      <c r="B31" s="968"/>
      <c r="C31" s="968"/>
      <c r="D31" s="968"/>
      <c r="E31" s="1363"/>
      <c r="F31" s="1363"/>
      <c r="G31" s="1364"/>
      <c r="H31" s="969">
        <f>főkönyv!B98</f>
        <v>0</v>
      </c>
      <c r="I31" s="952"/>
      <c r="J31" s="914"/>
      <c r="K31" s="914"/>
      <c r="L31" s="914"/>
      <c r="M31" s="914"/>
      <c r="N31" s="914"/>
      <c r="O31" s="914"/>
      <c r="Q31" s="364"/>
      <c r="R31" s="369"/>
      <c r="S31" s="383">
        <f>IF(Q29=1,"Hiba 817. Sor:  az alap csökkentő nagyobb mint az alap!","")</f>
      </c>
      <c r="T31" s="369"/>
      <c r="U31" s="369"/>
      <c r="V31" s="370"/>
      <c r="W31" s="370"/>
      <c r="X31" s="370"/>
      <c r="Y31" s="370"/>
      <c r="Z31" s="370"/>
      <c r="AA31" s="370"/>
      <c r="AB31" s="370"/>
      <c r="AC31" s="370"/>
      <c r="AD31" s="1224"/>
      <c r="AE31" s="1224"/>
      <c r="AF31" s="1224"/>
      <c r="AG31" s="1224"/>
      <c r="AH31" s="369"/>
      <c r="AI31" s="369"/>
      <c r="AJ31" s="960"/>
      <c r="AK31" s="960"/>
      <c r="AL31" s="960"/>
      <c r="AM31" s="960"/>
      <c r="AN31" s="961"/>
      <c r="AO31" s="962"/>
      <c r="AP31" s="962"/>
      <c r="AQ31" s="962"/>
      <c r="AR31" s="962"/>
      <c r="AS31" s="962"/>
      <c r="AT31" s="962"/>
      <c r="AU31" s="962"/>
      <c r="AV31" s="962"/>
      <c r="AW31" s="962"/>
      <c r="AX31" s="962"/>
      <c r="AY31" s="962"/>
      <c r="AZ31" s="962"/>
      <c r="BA31" s="962"/>
      <c r="BB31" s="962"/>
      <c r="BC31" s="962"/>
      <c r="BD31" s="962"/>
      <c r="BE31" s="962"/>
      <c r="BF31" s="962"/>
      <c r="BG31" s="962"/>
      <c r="BH31" s="962"/>
      <c r="BI31" s="962"/>
      <c r="BJ31" s="962"/>
      <c r="BK31" s="962"/>
      <c r="BL31" s="962"/>
      <c r="BM31" s="962"/>
      <c r="BN31" s="962"/>
      <c r="BO31" s="962"/>
      <c r="BP31" s="962"/>
      <c r="BQ31" s="962"/>
      <c r="BR31" s="962"/>
      <c r="BS31" s="962"/>
      <c r="BT31" s="962"/>
      <c r="BU31" s="962"/>
      <c r="BV31" s="962"/>
    </row>
    <row r="32" spans="1:74" ht="12.75" customHeight="1" hidden="1">
      <c r="A32" s="967" t="s">
        <v>266</v>
      </c>
      <c r="B32" s="968"/>
      <c r="C32" s="968"/>
      <c r="D32" s="968"/>
      <c r="E32" s="1363"/>
      <c r="F32" s="1363"/>
      <c r="G32" s="1364"/>
      <c r="H32" s="969">
        <f>főkönyv!B99</f>
        <v>0</v>
      </c>
      <c r="I32" s="952"/>
      <c r="J32" s="914"/>
      <c r="K32" s="914"/>
      <c r="L32" s="914"/>
      <c r="M32" s="914"/>
      <c r="N32" s="914"/>
      <c r="O32" s="914"/>
      <c r="Q32" s="336"/>
      <c r="R32" s="383"/>
      <c r="S32" s="383"/>
      <c r="T32" s="383"/>
      <c r="U32" s="383"/>
      <c r="V32" s="370"/>
      <c r="W32" s="370"/>
      <c r="X32" s="370"/>
      <c r="Y32" s="370"/>
      <c r="Z32" s="370"/>
      <c r="AA32" s="370"/>
      <c r="AB32" s="370"/>
      <c r="AC32" s="370"/>
      <c r="AD32" s="383"/>
      <c r="AE32" s="383"/>
      <c r="AF32" s="383"/>
      <c r="AG32" s="383"/>
      <c r="AH32" s="383"/>
      <c r="AI32" s="383"/>
      <c r="AJ32" s="965"/>
      <c r="AK32" s="965"/>
      <c r="AL32" s="965"/>
      <c r="AM32" s="965"/>
      <c r="AN32" s="962"/>
      <c r="AO32" s="962"/>
      <c r="AP32" s="962"/>
      <c r="AQ32" s="962"/>
      <c r="AR32" s="962"/>
      <c r="AS32" s="962"/>
      <c r="AT32" s="962"/>
      <c r="AU32" s="962"/>
      <c r="AV32" s="962"/>
      <c r="AW32" s="962"/>
      <c r="AX32" s="962"/>
      <c r="AY32" s="962"/>
      <c r="AZ32" s="962"/>
      <c r="BA32" s="962"/>
      <c r="BB32" s="962"/>
      <c r="BC32" s="962"/>
      <c r="BD32" s="962"/>
      <c r="BE32" s="962"/>
      <c r="BF32" s="962"/>
      <c r="BG32" s="962"/>
      <c r="BH32" s="962"/>
      <c r="BI32" s="962"/>
      <c r="BJ32" s="962"/>
      <c r="BK32" s="962"/>
      <c r="BL32" s="962"/>
      <c r="BM32" s="962"/>
      <c r="BN32" s="962"/>
      <c r="BO32" s="962"/>
      <c r="BP32" s="962"/>
      <c r="BQ32" s="962"/>
      <c r="BR32" s="962"/>
      <c r="BS32" s="962"/>
      <c r="BT32" s="962"/>
      <c r="BU32" s="962"/>
      <c r="BV32" s="962"/>
    </row>
    <row r="33" spans="1:74" ht="12.75" customHeight="1" hidden="1">
      <c r="A33" s="967" t="s">
        <v>267</v>
      </c>
      <c r="B33" s="968"/>
      <c r="C33" s="968"/>
      <c r="D33" s="968"/>
      <c r="E33" s="1363"/>
      <c r="F33" s="1363"/>
      <c r="G33" s="1364"/>
      <c r="H33" s="969">
        <f>főkönyv!B100</f>
        <v>0</v>
      </c>
      <c r="I33" s="952"/>
      <c r="J33" s="914"/>
      <c r="K33" s="914"/>
      <c r="L33" s="914"/>
      <c r="M33" s="914"/>
      <c r="N33" s="914"/>
      <c r="O33" s="914"/>
      <c r="Q33" s="364"/>
      <c r="R33" s="383"/>
      <c r="S33" s="383"/>
      <c r="T33" s="383"/>
      <c r="U33" s="383"/>
      <c r="V33" s="370"/>
      <c r="W33" s="370"/>
      <c r="X33" s="370"/>
      <c r="Y33" s="370"/>
      <c r="Z33" s="370"/>
      <c r="AA33" s="370"/>
      <c r="AB33" s="370"/>
      <c r="AC33" s="370"/>
      <c r="AD33" s="383"/>
      <c r="AE33" s="383"/>
      <c r="AF33" s="383"/>
      <c r="AG33" s="383"/>
      <c r="AH33" s="383"/>
      <c r="AI33" s="383"/>
      <c r="AJ33" s="965"/>
      <c r="AK33" s="965"/>
      <c r="AL33" s="965"/>
      <c r="AM33" s="965"/>
      <c r="AN33" s="962"/>
      <c r="AO33" s="962"/>
      <c r="AP33" s="962"/>
      <c r="AQ33" s="962"/>
      <c r="AR33" s="962"/>
      <c r="AS33" s="962"/>
      <c r="AT33" s="962"/>
      <c r="AU33" s="962"/>
      <c r="AV33" s="962"/>
      <c r="AW33" s="962"/>
      <c r="AX33" s="962"/>
      <c r="AY33" s="962"/>
      <c r="AZ33" s="962"/>
      <c r="BA33" s="962"/>
      <c r="BB33" s="962"/>
      <c r="BC33" s="962"/>
      <c r="BD33" s="962"/>
      <c r="BE33" s="962"/>
      <c r="BF33" s="962"/>
      <c r="BG33" s="962"/>
      <c r="BH33" s="962"/>
      <c r="BI33" s="962"/>
      <c r="BJ33" s="962"/>
      <c r="BK33" s="962"/>
      <c r="BL33" s="962"/>
      <c r="BM33" s="962"/>
      <c r="BN33" s="962"/>
      <c r="BO33" s="962"/>
      <c r="BP33" s="962"/>
      <c r="BQ33" s="962"/>
      <c r="BR33" s="962"/>
      <c r="BS33" s="962"/>
      <c r="BT33" s="962"/>
      <c r="BU33" s="962"/>
      <c r="BV33" s="962"/>
    </row>
    <row r="34" spans="1:35" ht="12.75" customHeight="1" hidden="1">
      <c r="A34" s="967" t="s">
        <v>268</v>
      </c>
      <c r="B34" s="968"/>
      <c r="C34" s="968"/>
      <c r="D34" s="968"/>
      <c r="E34" s="1363"/>
      <c r="F34" s="1363"/>
      <c r="G34" s="1364"/>
      <c r="H34" s="969">
        <f>főkönyv!B101</f>
        <v>0</v>
      </c>
      <c r="I34" s="952"/>
      <c r="J34" s="914"/>
      <c r="K34" s="914"/>
      <c r="L34" s="914"/>
      <c r="M34" s="914"/>
      <c r="N34" s="914"/>
      <c r="O34" s="914"/>
      <c r="Q34" s="337"/>
      <c r="R34" s="336"/>
      <c r="S34" s="336"/>
      <c r="T34" s="336"/>
      <c r="U34" s="336"/>
      <c r="V34" s="338"/>
      <c r="W34" s="338"/>
      <c r="X34" s="338"/>
      <c r="Y34" s="338"/>
      <c r="Z34" s="338"/>
      <c r="AA34" s="338"/>
      <c r="AB34" s="338"/>
      <c r="AC34" s="338"/>
      <c r="AD34" s="336"/>
      <c r="AE34" s="336"/>
      <c r="AF34" s="336"/>
      <c r="AG34" s="336"/>
      <c r="AH34" s="336"/>
      <c r="AI34" s="336"/>
    </row>
    <row r="35" spans="1:35" ht="15">
      <c r="A35" s="950" t="s">
        <v>263</v>
      </c>
      <c r="B35" s="1353" t="s">
        <v>76</v>
      </c>
      <c r="C35" s="1353"/>
      <c r="D35" s="1353"/>
      <c r="E35" s="1353"/>
      <c r="F35" s="1353"/>
      <c r="G35" s="1354"/>
      <c r="H35" s="966">
        <f>H28-H29</f>
        <v>0</v>
      </c>
      <c r="I35" s="952"/>
      <c r="J35" s="914"/>
      <c r="K35" s="914"/>
      <c r="L35" s="914"/>
      <c r="M35" s="914"/>
      <c r="N35" s="914"/>
      <c r="O35" s="914"/>
      <c r="Q35" s="336"/>
      <c r="R35" s="336">
        <f>R23*R28</f>
        <v>0</v>
      </c>
      <c r="S35" s="336"/>
      <c r="T35" s="336"/>
      <c r="U35" s="336"/>
      <c r="V35" s="338">
        <f>V23*V28</f>
        <v>0</v>
      </c>
      <c r="W35" s="338"/>
      <c r="X35" s="338"/>
      <c r="Y35" s="338"/>
      <c r="Z35" s="389">
        <f>Z23*Z28</f>
        <v>0</v>
      </c>
      <c r="AA35" s="338"/>
      <c r="AB35" s="338"/>
      <c r="AC35" s="338"/>
      <c r="AD35" s="390">
        <f>AD23+AD28</f>
        <v>0</v>
      </c>
      <c r="AE35" s="336"/>
      <c r="AF35" s="336"/>
      <c r="AG35" s="336"/>
      <c r="AH35" s="336"/>
      <c r="AI35" s="336"/>
    </row>
    <row r="36" spans="1:35" ht="12" customHeight="1">
      <c r="A36" s="950" t="s">
        <v>269</v>
      </c>
      <c r="B36" s="1362" t="s">
        <v>77</v>
      </c>
      <c r="C36" s="1362"/>
      <c r="D36" s="1362"/>
      <c r="E36" s="1362"/>
      <c r="F36" s="1369">
        <f>alapadatok!J26</f>
        <v>0.017</v>
      </c>
      <c r="G36" s="1370"/>
      <c r="H36" s="966">
        <f>IF(H35&lt;0,0,ROUND(H35*F36,0))</f>
        <v>0</v>
      </c>
      <c r="I36" s="952"/>
      <c r="J36" s="914"/>
      <c r="K36" s="914"/>
      <c r="L36" s="914"/>
      <c r="M36" s="914"/>
      <c r="N36" s="914"/>
      <c r="O36" s="914"/>
      <c r="Q36" s="336"/>
      <c r="R36" s="391"/>
      <c r="S36" s="391"/>
      <c r="T36" s="391"/>
      <c r="U36" s="391"/>
      <c r="V36" s="338"/>
      <c r="W36" s="338"/>
      <c r="X36" s="338"/>
      <c r="Y36" s="338"/>
      <c r="Z36" s="338"/>
      <c r="AA36" s="338"/>
      <c r="AB36" s="338"/>
      <c r="AC36" s="338"/>
      <c r="AD36" s="336"/>
      <c r="AE36" s="336"/>
      <c r="AF36" s="336"/>
      <c r="AG36" s="336"/>
      <c r="AH36" s="336"/>
      <c r="AI36" s="336"/>
    </row>
    <row r="37" spans="1:35" ht="16.5" customHeight="1">
      <c r="A37" s="950" t="s">
        <v>270</v>
      </c>
      <c r="B37" s="1359" t="s">
        <v>272</v>
      </c>
      <c r="C37" s="1359"/>
      <c r="D37" s="1359"/>
      <c r="E37" s="1359"/>
      <c r="F37" s="1359"/>
      <c r="G37" s="1360"/>
      <c r="H37" s="1110">
        <f>IF(H23&lt;1500001,ROUND((H36/2),0),0)</f>
        <v>0</v>
      </c>
      <c r="I37" s="952"/>
      <c r="J37" s="914"/>
      <c r="K37" s="914"/>
      <c r="L37" s="914"/>
      <c r="M37" s="914"/>
      <c r="N37" s="914"/>
      <c r="O37" s="914"/>
      <c r="Q37" s="336">
        <f>IF(H38+H39+H40+H41&gt;H36,1,0)</f>
        <v>0</v>
      </c>
      <c r="R37" s="392"/>
      <c r="S37" s="392"/>
      <c r="T37" s="392"/>
      <c r="U37" s="392"/>
      <c r="V37" s="393"/>
      <c r="W37" s="393"/>
      <c r="X37" s="393"/>
      <c r="Y37" s="338"/>
      <c r="Z37" s="338"/>
      <c r="AA37" s="338"/>
      <c r="AB37" s="338"/>
      <c r="AC37" s="338"/>
      <c r="AD37" s="336"/>
      <c r="AE37" s="336"/>
      <c r="AF37" s="336"/>
      <c r="AG37" s="336"/>
      <c r="AH37" s="336"/>
      <c r="AI37" s="336"/>
    </row>
    <row r="38" spans="1:24" ht="12.75" customHeight="1" hidden="1">
      <c r="A38" s="967" t="s">
        <v>273</v>
      </c>
      <c r="B38" s="968"/>
      <c r="C38" s="968"/>
      <c r="D38" s="968"/>
      <c r="E38" s="1363"/>
      <c r="F38" s="1363"/>
      <c r="G38" s="1364"/>
      <c r="H38" s="969">
        <f>főkönyv!B107</f>
        <v>0</v>
      </c>
      <c r="I38" s="952"/>
      <c r="J38" s="914"/>
      <c r="K38" s="914"/>
      <c r="L38" s="914"/>
      <c r="M38" s="914"/>
      <c r="N38" s="914"/>
      <c r="O38" s="914"/>
      <c r="R38" s="970"/>
      <c r="S38" s="970">
        <f>IF(Q37=1,"Hiba 822. Sor:  a kedvezmény &gt; mint az adó","")</f>
      </c>
      <c r="T38" s="970"/>
      <c r="U38" s="970"/>
      <c r="V38" s="971"/>
      <c r="W38" s="971"/>
      <c r="X38" s="971"/>
    </row>
    <row r="39" spans="1:24" ht="12.75" customHeight="1" hidden="1">
      <c r="A39" s="967" t="s">
        <v>274</v>
      </c>
      <c r="B39" s="968"/>
      <c r="C39" s="968"/>
      <c r="D39" s="968"/>
      <c r="E39" s="1363"/>
      <c r="F39" s="1363"/>
      <c r="G39" s="1364"/>
      <c r="H39" s="969">
        <f>főkönyv!B108</f>
        <v>0</v>
      </c>
      <c r="I39" s="952"/>
      <c r="J39" s="914"/>
      <c r="K39" s="914"/>
      <c r="L39" s="914"/>
      <c r="M39" s="914"/>
      <c r="N39" s="914"/>
      <c r="O39" s="914"/>
      <c r="R39" s="970"/>
      <c r="S39" s="970"/>
      <c r="T39" s="970"/>
      <c r="U39" s="970"/>
      <c r="V39" s="971"/>
      <c r="W39" s="971"/>
      <c r="X39" s="971"/>
    </row>
    <row r="40" spans="1:15" ht="12.75" customHeight="1" hidden="1">
      <c r="A40" s="967" t="s">
        <v>275</v>
      </c>
      <c r="B40" s="968"/>
      <c r="C40" s="968"/>
      <c r="D40" s="968"/>
      <c r="E40" s="1363"/>
      <c r="F40" s="1363"/>
      <c r="G40" s="1364"/>
      <c r="H40" s="969">
        <f>főkönyv!B109</f>
        <v>0</v>
      </c>
      <c r="I40" s="952"/>
      <c r="J40" s="914"/>
      <c r="K40" s="914"/>
      <c r="L40" s="914"/>
      <c r="M40" s="914"/>
      <c r="N40" s="914"/>
      <c r="O40" s="914"/>
    </row>
    <row r="41" spans="1:15" ht="12.75" customHeight="1" hidden="1">
      <c r="A41" s="967" t="s">
        <v>276</v>
      </c>
      <c r="B41" s="968"/>
      <c r="C41" s="968"/>
      <c r="D41" s="968"/>
      <c r="E41" s="1363"/>
      <c r="F41" s="1363"/>
      <c r="G41" s="1364"/>
      <c r="H41" s="969">
        <f>főkönyv!B110</f>
        <v>0</v>
      </c>
      <c r="I41" s="952"/>
      <c r="J41" s="914"/>
      <c r="K41" s="914"/>
      <c r="L41" s="914"/>
      <c r="M41" s="914"/>
      <c r="N41" s="914"/>
      <c r="O41" s="914"/>
    </row>
    <row r="42" spans="1:41" ht="27" customHeight="1">
      <c r="A42" s="950" t="s">
        <v>271</v>
      </c>
      <c r="B42" s="1359" t="s">
        <v>278</v>
      </c>
      <c r="C42" s="1359"/>
      <c r="D42" s="1359"/>
      <c r="E42" s="1359"/>
      <c r="F42" s="1359"/>
      <c r="G42" s="1360"/>
      <c r="H42" s="972"/>
      <c r="I42" s="952"/>
      <c r="J42" s="914"/>
      <c r="K42" s="914"/>
      <c r="L42" s="914"/>
      <c r="M42" s="914"/>
      <c r="N42" s="914"/>
      <c r="O42" s="914"/>
      <c r="AM42" s="973" t="s">
        <v>443</v>
      </c>
      <c r="AN42" s="973"/>
      <c r="AO42" s="974">
        <v>1</v>
      </c>
    </row>
    <row r="43" spans="1:35" ht="27.75" customHeight="1">
      <c r="A43" s="950" t="s">
        <v>277</v>
      </c>
      <c r="B43" s="1359" t="s">
        <v>375</v>
      </c>
      <c r="C43" s="1359"/>
      <c r="D43" s="1359"/>
      <c r="E43" s="1359"/>
      <c r="F43" s="1359"/>
      <c r="G43" s="1360"/>
      <c r="H43" s="972"/>
      <c r="I43" s="952"/>
      <c r="J43" s="914"/>
      <c r="K43" s="914"/>
      <c r="L43" s="914"/>
      <c r="M43" s="914"/>
      <c r="N43" s="914"/>
      <c r="O43" s="914"/>
      <c r="AI43" s="975" t="s">
        <v>280</v>
      </c>
    </row>
    <row r="44" spans="1:40" ht="14.25" customHeight="1">
      <c r="A44" s="950" t="s">
        <v>279</v>
      </c>
      <c r="B44" s="1361" t="s">
        <v>376</v>
      </c>
      <c r="C44" s="1361"/>
      <c r="D44" s="1361"/>
      <c r="E44" s="1361"/>
      <c r="F44" s="1361"/>
      <c r="G44" s="1362"/>
      <c r="H44" s="966">
        <f>IF(AI44="i",Q47,Q46)</f>
        <v>0</v>
      </c>
      <c r="I44" s="952"/>
      <c r="J44" s="914"/>
      <c r="K44" s="914"/>
      <c r="L44" s="914"/>
      <c r="M44" s="914"/>
      <c r="N44" s="914"/>
      <c r="O44" s="914"/>
      <c r="Q44" s="916" t="s">
        <v>282</v>
      </c>
      <c r="AI44" s="976" t="s">
        <v>105</v>
      </c>
      <c r="AJ44" s="977" t="s">
        <v>283</v>
      </c>
      <c r="AN44" s="978" t="e">
        <f>ROUND((ROUND(((H44)/alapadatok!J26*alapadatok!L26),2)/AN46*366*AO42),-2)</f>
        <v>#VALUE!</v>
      </c>
    </row>
    <row r="45" spans="1:17" ht="13.5" customHeight="1">
      <c r="A45" s="950" t="s">
        <v>281</v>
      </c>
      <c r="B45" s="1353" t="s">
        <v>295</v>
      </c>
      <c r="C45" s="1353"/>
      <c r="D45" s="1353"/>
      <c r="E45" s="1353"/>
      <c r="F45" s="1353"/>
      <c r="G45" s="1354"/>
      <c r="H45" s="953"/>
      <c r="I45" s="952"/>
      <c r="J45" s="914"/>
      <c r="K45" s="914"/>
      <c r="L45" s="914"/>
      <c r="M45" s="914"/>
      <c r="N45" s="914"/>
      <c r="O45" s="914"/>
      <c r="Q45" s="979">
        <f>H36-H37-H42-H43</f>
        <v>0</v>
      </c>
    </row>
    <row r="46" spans="1:41" ht="14.25" customHeight="1">
      <c r="A46" s="950" t="s">
        <v>284</v>
      </c>
      <c r="B46" s="1353" t="s">
        <v>297</v>
      </c>
      <c r="C46" s="1353"/>
      <c r="D46" s="1353"/>
      <c r="E46" s="1353"/>
      <c r="F46" s="1353"/>
      <c r="G46" s="1354"/>
      <c r="H46" s="953"/>
      <c r="I46" s="952"/>
      <c r="J46" s="914"/>
      <c r="K46" s="914"/>
      <c r="L46" s="914"/>
      <c r="M46" s="914"/>
      <c r="N46" s="914"/>
      <c r="O46" s="914"/>
      <c r="Q46" s="978">
        <f>IF(Q45&gt;0,Q45,0)</f>
        <v>0</v>
      </c>
      <c r="AJ46" s="916" t="s">
        <v>318</v>
      </c>
      <c r="AN46" s="980" t="e">
        <f>'1. oldal'!AO43</f>
        <v>#VALUE!</v>
      </c>
      <c r="AO46" s="916" t="s">
        <v>317</v>
      </c>
    </row>
    <row r="47" spans="1:40" ht="13.5" customHeight="1">
      <c r="A47" s="950" t="s">
        <v>296</v>
      </c>
      <c r="B47" s="981" t="s">
        <v>78</v>
      </c>
      <c r="C47" s="982"/>
      <c r="D47" s="982"/>
      <c r="E47" s="1365">
        <f>IF(H47&lt;0," Töltse ki a G lapot!","")</f>
      </c>
      <c r="F47" s="1365"/>
      <c r="G47" s="1366"/>
      <c r="H47" s="966">
        <f>H44-H45-H46</f>
        <v>0</v>
      </c>
      <c r="I47" s="952"/>
      <c r="J47" s="914"/>
      <c r="K47" s="914"/>
      <c r="L47" s="914"/>
      <c r="M47" s="914"/>
      <c r="N47" s="914"/>
      <c r="O47" s="914"/>
      <c r="Q47" s="978">
        <f>IF(Q45&gt;0,ROUND(Q45/100,0)*100,0)</f>
        <v>0</v>
      </c>
      <c r="AL47" s="916" t="s">
        <v>696</v>
      </c>
      <c r="AN47" s="916">
        <f>IF('1. oldal'!C29="",0,1)</f>
        <v>0</v>
      </c>
    </row>
    <row r="48" spans="1:15" ht="15" hidden="1">
      <c r="A48" s="983"/>
      <c r="B48" s="984"/>
      <c r="C48" s="984"/>
      <c r="D48" s="984"/>
      <c r="E48" s="1367"/>
      <c r="F48" s="1367"/>
      <c r="G48" s="1368"/>
      <c r="H48" s="966"/>
      <c r="I48" s="952"/>
      <c r="J48" s="914"/>
      <c r="K48" s="914"/>
      <c r="L48" s="914"/>
      <c r="M48" s="914"/>
      <c r="N48" s="914"/>
      <c r="O48" s="914"/>
    </row>
    <row r="49" spans="1:15" ht="3" customHeight="1">
      <c r="A49" s="950"/>
      <c r="B49" s="985"/>
      <c r="C49" s="985"/>
      <c r="D49" s="985"/>
      <c r="E49" s="986"/>
      <c r="F49" s="986"/>
      <c r="G49" s="986"/>
      <c r="H49" s="987"/>
      <c r="I49" s="952"/>
      <c r="J49" s="914"/>
      <c r="K49" s="914"/>
      <c r="L49" s="914"/>
      <c r="M49" s="914"/>
      <c r="N49" s="914"/>
      <c r="O49" s="914"/>
    </row>
    <row r="50" spans="1:40" ht="12.75" customHeight="1">
      <c r="A50" s="950" t="s">
        <v>298</v>
      </c>
      <c r="B50" s="1353" t="s">
        <v>300</v>
      </c>
      <c r="C50" s="1353"/>
      <c r="D50" s="1353"/>
      <c r="E50" s="1353"/>
      <c r="F50" s="1353"/>
      <c r="G50" s="1354"/>
      <c r="H50" s="988"/>
      <c r="I50" s="1355"/>
      <c r="J50" s="1355"/>
      <c r="K50" s="1355"/>
      <c r="L50" s="1355"/>
      <c r="M50" s="1355"/>
      <c r="N50" s="1355"/>
      <c r="O50" s="1355"/>
      <c r="AN50" s="916" t="e">
        <f>MAX(((AN44)-AJ70),0)</f>
        <v>#VALUE!</v>
      </c>
    </row>
    <row r="51" spans="1:15" ht="12.75" customHeight="1">
      <c r="A51" s="950" t="s">
        <v>299</v>
      </c>
      <c r="B51" s="1353" t="s">
        <v>674</v>
      </c>
      <c r="C51" s="1353"/>
      <c r="D51" s="1353"/>
      <c r="E51" s="1353"/>
      <c r="F51" s="1353"/>
      <c r="G51" s="1354"/>
      <c r="H51" s="988"/>
      <c r="I51" s="989"/>
      <c r="J51" s="989"/>
      <c r="K51" s="989"/>
      <c r="L51" s="989"/>
      <c r="M51" s="989"/>
      <c r="N51" s="989"/>
      <c r="O51" s="989"/>
    </row>
    <row r="52" spans="1:29" s="975" customFormat="1" ht="15" hidden="1">
      <c r="A52" s="990" t="s">
        <v>301</v>
      </c>
      <c r="B52" s="990"/>
      <c r="C52" s="990"/>
      <c r="D52" s="990"/>
      <c r="E52" s="1356" t="s">
        <v>302</v>
      </c>
      <c r="F52" s="1356"/>
      <c r="G52" s="1356"/>
      <c r="V52" s="992"/>
      <c r="W52" s="992"/>
      <c r="X52" s="992"/>
      <c r="Y52" s="992"/>
      <c r="Z52" s="992"/>
      <c r="AA52" s="992"/>
      <c r="AB52" s="992"/>
      <c r="AC52" s="992"/>
    </row>
    <row r="53" spans="1:29" s="975" customFormat="1" ht="15" hidden="1">
      <c r="A53" s="991" t="s">
        <v>303</v>
      </c>
      <c r="B53" s="991"/>
      <c r="C53" s="991"/>
      <c r="D53" s="991"/>
      <c r="E53" s="991"/>
      <c r="F53" s="991"/>
      <c r="G53" s="991"/>
      <c r="V53" s="992"/>
      <c r="W53" s="992"/>
      <c r="X53" s="992"/>
      <c r="Y53" s="992"/>
      <c r="Z53" s="992"/>
      <c r="AA53" s="992"/>
      <c r="AB53" s="992"/>
      <c r="AC53" s="992"/>
    </row>
    <row r="54" spans="1:29" s="975" customFormat="1" ht="15" hidden="1">
      <c r="A54" s="991" t="s">
        <v>304</v>
      </c>
      <c r="B54" s="991"/>
      <c r="C54" s="991"/>
      <c r="D54" s="991"/>
      <c r="E54" s="991"/>
      <c r="F54" s="991"/>
      <c r="G54" s="991"/>
      <c r="V54" s="992"/>
      <c r="W54" s="992"/>
      <c r="X54" s="992"/>
      <c r="Y54" s="992"/>
      <c r="Z54" s="992"/>
      <c r="AA54" s="992"/>
      <c r="AB54" s="992"/>
      <c r="AC54" s="992"/>
    </row>
    <row r="55" spans="1:29" s="975" customFormat="1" ht="15" hidden="1">
      <c r="A55" s="975" t="s">
        <v>305</v>
      </c>
      <c r="E55" s="991"/>
      <c r="F55" s="991"/>
      <c r="G55" s="991"/>
      <c r="V55" s="992"/>
      <c r="W55" s="992"/>
      <c r="X55" s="992"/>
      <c r="Y55" s="992"/>
      <c r="Z55" s="992"/>
      <c r="AA55" s="992"/>
      <c r="AB55" s="992"/>
      <c r="AC55" s="992"/>
    </row>
    <row r="56" spans="5:29" s="975" customFormat="1" ht="12.75" customHeight="1" hidden="1">
      <c r="E56" s="1357" t="s">
        <v>306</v>
      </c>
      <c r="F56" s="1357"/>
      <c r="G56" s="1357"/>
      <c r="K56" s="993">
        <f>IF(I100+L100=2,"",K100)</f>
      </c>
      <c r="L56" s="994"/>
      <c r="M56" s="994"/>
      <c r="N56" s="994"/>
      <c r="O56" s="994"/>
      <c r="V56" s="992"/>
      <c r="W56" s="992"/>
      <c r="X56" s="992"/>
      <c r="Y56" s="992"/>
      <c r="Z56" s="992"/>
      <c r="AA56" s="992"/>
      <c r="AB56" s="992"/>
      <c r="AC56" s="992"/>
    </row>
    <row r="57" spans="5:29" s="975" customFormat="1" ht="12.75" customHeight="1" hidden="1">
      <c r="E57" s="1357" t="s">
        <v>307</v>
      </c>
      <c r="F57" s="1357"/>
      <c r="G57" s="1357"/>
      <c r="K57" s="993">
        <f>IF(I101+L101=2,"",K101)</f>
      </c>
      <c r="L57" s="994"/>
      <c r="M57" s="994"/>
      <c r="N57" s="994"/>
      <c r="O57" s="994"/>
      <c r="V57" s="992"/>
      <c r="W57" s="992"/>
      <c r="X57" s="992"/>
      <c r="Y57" s="992"/>
      <c r="Z57" s="992"/>
      <c r="AA57" s="992"/>
      <c r="AB57" s="992"/>
      <c r="AC57" s="992"/>
    </row>
    <row r="58" spans="5:29" s="975" customFormat="1" ht="15.75" hidden="1">
      <c r="E58" s="1357" t="s">
        <v>308</v>
      </c>
      <c r="F58" s="1357"/>
      <c r="G58" s="1357"/>
      <c r="K58" s="993">
        <f>IF(I104=3,"X","")</f>
      </c>
      <c r="L58" s="994"/>
      <c r="M58" s="994"/>
      <c r="N58" s="994"/>
      <c r="O58" s="994"/>
      <c r="V58" s="992"/>
      <c r="W58" s="992"/>
      <c r="X58" s="992"/>
      <c r="Y58" s="992"/>
      <c r="Z58" s="992"/>
      <c r="AA58" s="992"/>
      <c r="AB58" s="992"/>
      <c r="AC58" s="992"/>
    </row>
    <row r="59" spans="5:29" s="975" customFormat="1" ht="14.25" customHeight="1" hidden="1">
      <c r="E59" s="995" t="s">
        <v>309</v>
      </c>
      <c r="F59" s="995"/>
      <c r="G59" s="996"/>
      <c r="K59" s="993">
        <f>IF(I103+L103=2,"",K103)</f>
      </c>
      <c r="L59" s="994"/>
      <c r="M59" s="994"/>
      <c r="N59" s="994"/>
      <c r="O59" s="994"/>
      <c r="V59" s="992"/>
      <c r="W59" s="992"/>
      <c r="X59" s="992"/>
      <c r="Y59" s="992"/>
      <c r="Z59" s="992"/>
      <c r="AA59" s="992"/>
      <c r="AB59" s="992"/>
      <c r="AC59" s="992"/>
    </row>
    <row r="60" spans="5:29" s="975" customFormat="1" ht="15" customHeight="1" hidden="1">
      <c r="E60" s="995"/>
      <c r="F60" s="995"/>
      <c r="G60" s="996"/>
      <c r="K60" s="997"/>
      <c r="L60" s="994"/>
      <c r="M60" s="994"/>
      <c r="N60" s="994"/>
      <c r="O60" s="994"/>
      <c r="V60" s="992"/>
      <c r="W60" s="992"/>
      <c r="X60" s="992"/>
      <c r="Y60" s="992"/>
      <c r="Z60" s="992"/>
      <c r="AA60" s="992"/>
      <c r="AB60" s="992"/>
      <c r="AC60" s="992"/>
    </row>
    <row r="61" spans="1:40" s="975" customFormat="1" ht="15" customHeight="1">
      <c r="A61" s="998" t="s">
        <v>310</v>
      </c>
      <c r="B61" s="1358" t="s">
        <v>311</v>
      </c>
      <c r="C61" s="1358"/>
      <c r="D61" s="1358"/>
      <c r="E61" s="1358"/>
      <c r="F61" s="1358"/>
      <c r="G61" s="1358"/>
      <c r="K61" s="997"/>
      <c r="L61" s="994"/>
      <c r="M61" s="994"/>
      <c r="N61" s="994"/>
      <c r="O61" s="994"/>
      <c r="V61" s="992"/>
      <c r="W61" s="992"/>
      <c r="X61" s="992"/>
      <c r="Y61" s="992"/>
      <c r="Z61" s="992"/>
      <c r="AA61" s="992"/>
      <c r="AB61" s="992"/>
      <c r="AC61" s="992"/>
      <c r="AN61" s="975" t="e">
        <f>AN44/2</f>
        <v>#VALUE!</v>
      </c>
    </row>
    <row r="62" spans="5:29" s="975" customFormat="1" ht="2.25" customHeight="1">
      <c r="E62" s="995"/>
      <c r="F62" s="995"/>
      <c r="G62" s="996"/>
      <c r="K62" s="997"/>
      <c r="L62" s="994"/>
      <c r="M62" s="994"/>
      <c r="N62" s="994"/>
      <c r="O62" s="994"/>
      <c r="V62" s="992"/>
      <c r="W62" s="992"/>
      <c r="X62" s="992"/>
      <c r="Y62" s="992"/>
      <c r="Z62" s="992"/>
      <c r="AA62" s="992"/>
      <c r="AB62" s="992"/>
      <c r="AC62" s="992"/>
    </row>
    <row r="63" spans="1:36" s="975" customFormat="1" ht="15.75">
      <c r="A63" s="1349" t="s">
        <v>312</v>
      </c>
      <c r="B63" s="1349"/>
      <c r="C63" s="1349"/>
      <c r="D63" s="1349"/>
      <c r="E63" s="999">
        <f>'2. oldal'!E63</f>
        <v>41456</v>
      </c>
      <c r="F63" s="1000" t="s">
        <v>161</v>
      </c>
      <c r="G63" s="996"/>
      <c r="H63" s="999">
        <f>'2. oldal'!H63</f>
        <v>41820</v>
      </c>
      <c r="I63" s="916" t="s">
        <v>162</v>
      </c>
      <c r="K63" s="997"/>
      <c r="L63" s="994"/>
      <c r="M63" s="994"/>
      <c r="N63" s="994"/>
      <c r="O63" s="994"/>
      <c r="V63" s="992"/>
      <c r="W63" s="992"/>
      <c r="X63" s="992"/>
      <c r="Y63" s="992"/>
      <c r="Z63" s="992"/>
      <c r="AA63" s="992"/>
      <c r="AB63" s="992"/>
      <c r="AC63" s="992"/>
      <c r="AJ63" s="975" t="s">
        <v>313</v>
      </c>
    </row>
    <row r="64" spans="1:29" s="975" customFormat="1" ht="1.5" customHeight="1">
      <c r="A64" s="978"/>
      <c r="B64" s="1001"/>
      <c r="C64" s="1001"/>
      <c r="D64" s="1002"/>
      <c r="E64" s="1003"/>
      <c r="F64" s="1000"/>
      <c r="G64" s="996"/>
      <c r="H64" s="1004"/>
      <c r="I64" s="916"/>
      <c r="K64" s="997"/>
      <c r="L64" s="994"/>
      <c r="M64" s="994"/>
      <c r="N64" s="994"/>
      <c r="O64" s="994"/>
      <c r="V64" s="992"/>
      <c r="W64" s="992"/>
      <c r="X64" s="992"/>
      <c r="Y64" s="992"/>
      <c r="Z64" s="992"/>
      <c r="AA64" s="992"/>
      <c r="AB64" s="992"/>
      <c r="AC64" s="992"/>
    </row>
    <row r="65" spans="1:29" s="975" customFormat="1" ht="12" customHeight="1">
      <c r="A65" s="978"/>
      <c r="B65" s="1001"/>
      <c r="C65" s="1001"/>
      <c r="D65" s="1002"/>
      <c r="E65" s="1005" t="s">
        <v>314</v>
      </c>
      <c r="F65" s="1000"/>
      <c r="G65" s="996"/>
      <c r="H65" s="1005" t="s">
        <v>315</v>
      </c>
      <c r="I65" s="916"/>
      <c r="K65" s="997"/>
      <c r="L65" s="994"/>
      <c r="M65" s="994"/>
      <c r="N65" s="994"/>
      <c r="O65" s="994"/>
      <c r="V65" s="992"/>
      <c r="W65" s="992"/>
      <c r="X65" s="992"/>
      <c r="Y65" s="992"/>
      <c r="Z65" s="992"/>
      <c r="AA65" s="992"/>
      <c r="AB65" s="992"/>
      <c r="AC65" s="992"/>
    </row>
    <row r="66" spans="1:29" s="1008" customFormat="1" ht="1.5" customHeight="1">
      <c r="A66" s="1006"/>
      <c r="B66" s="1002"/>
      <c r="C66" s="1002"/>
      <c r="D66" s="1002"/>
      <c r="E66" s="1003"/>
      <c r="F66" s="1007"/>
      <c r="G66" s="996"/>
      <c r="H66" s="1004"/>
      <c r="I66" s="914"/>
      <c r="K66" s="997"/>
      <c r="L66" s="994"/>
      <c r="M66" s="994"/>
      <c r="N66" s="994"/>
      <c r="O66" s="994"/>
      <c r="V66" s="992"/>
      <c r="W66" s="992"/>
      <c r="X66" s="992"/>
      <c r="Y66" s="992"/>
      <c r="Z66" s="992"/>
      <c r="AA66" s="992"/>
      <c r="AB66" s="992"/>
      <c r="AC66" s="992"/>
    </row>
    <row r="67" spans="1:43" s="975" customFormat="1" ht="15.75">
      <c r="A67" s="1349" t="s">
        <v>399</v>
      </c>
      <c r="B67" s="1349"/>
      <c r="C67" s="1349"/>
      <c r="D67" s="1349"/>
      <c r="E67" s="999">
        <f>'2. oldal'!E67</f>
        <v>41532</v>
      </c>
      <c r="F67" s="1000" t="s">
        <v>210</v>
      </c>
      <c r="G67" s="996"/>
      <c r="H67" s="1009" t="e">
        <f>főkönyv!B183+(IF(AN47=0,AN50,0))</f>
        <v>#VALUE!</v>
      </c>
      <c r="I67" s="916"/>
      <c r="K67" s="997"/>
      <c r="L67" s="994"/>
      <c r="M67" s="994"/>
      <c r="N67" s="994"/>
      <c r="O67" s="994"/>
      <c r="V67" s="992"/>
      <c r="W67" s="992"/>
      <c r="X67" s="992"/>
      <c r="Y67" s="992"/>
      <c r="Z67" s="992"/>
      <c r="AA67" s="992"/>
      <c r="AB67" s="992"/>
      <c r="AC67" s="992"/>
      <c r="AO67" s="1352">
        <v>40983</v>
      </c>
      <c r="AP67" s="1352"/>
      <c r="AQ67" s="1352"/>
    </row>
    <row r="68" spans="1:29" s="975" customFormat="1" ht="12.75" customHeight="1" hidden="1">
      <c r="A68" s="978"/>
      <c r="B68" s="1001"/>
      <c r="C68" s="1001"/>
      <c r="D68" s="1002"/>
      <c r="E68" s="1003"/>
      <c r="F68" s="1000"/>
      <c r="G68" s="996"/>
      <c r="H68" s="1004"/>
      <c r="I68" s="916"/>
      <c r="K68" s="997"/>
      <c r="L68" s="994"/>
      <c r="M68" s="994"/>
      <c r="N68" s="994"/>
      <c r="O68" s="994"/>
      <c r="V68" s="992"/>
      <c r="W68" s="992"/>
      <c r="X68" s="992"/>
      <c r="Y68" s="992"/>
      <c r="Z68" s="992"/>
      <c r="AA68" s="992"/>
      <c r="AB68" s="992"/>
      <c r="AC68" s="992"/>
    </row>
    <row r="69" spans="1:29" s="975" customFormat="1" ht="10.5" customHeight="1">
      <c r="A69" s="1341" t="s">
        <v>474</v>
      </c>
      <c r="B69" s="1341"/>
      <c r="C69" s="1341"/>
      <c r="D69" s="1341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V69" s="992"/>
      <c r="W69" s="992"/>
      <c r="X69" s="992"/>
      <c r="Y69" s="992"/>
      <c r="Z69" s="992"/>
      <c r="AA69" s="992"/>
      <c r="AB69" s="992"/>
      <c r="AC69" s="992"/>
    </row>
    <row r="70" spans="1:38" s="975" customFormat="1" ht="15.75">
      <c r="A70" s="1349" t="s">
        <v>400</v>
      </c>
      <c r="B70" s="1349"/>
      <c r="C70" s="1349"/>
      <c r="D70" s="1349"/>
      <c r="E70" s="999">
        <f>'2. oldal'!E70</f>
        <v>41713</v>
      </c>
      <c r="F70" s="1000" t="s">
        <v>210</v>
      </c>
      <c r="G70" s="996"/>
      <c r="H70" s="1009" t="e">
        <f>főkönyv!B184+(IF(AN47=0,AN61,0))</f>
        <v>#VALUE!</v>
      </c>
      <c r="I70" s="916"/>
      <c r="K70" s="997"/>
      <c r="L70" s="994"/>
      <c r="M70" s="994"/>
      <c r="N70" s="994"/>
      <c r="O70" s="994"/>
      <c r="V70" s="992"/>
      <c r="W70" s="992"/>
      <c r="X70" s="992"/>
      <c r="Y70" s="992"/>
      <c r="Z70" s="992"/>
      <c r="AA70" s="992"/>
      <c r="AB70" s="992"/>
      <c r="AC70" s="992"/>
      <c r="AJ70" s="1350">
        <f>'2. oldal'!AJ70:AL70</f>
        <v>0</v>
      </c>
      <c r="AK70" s="1351"/>
      <c r="AL70" s="1351"/>
    </row>
    <row r="71" spans="1:36" s="975" customFormat="1" ht="12" customHeight="1">
      <c r="A71" s="1341" t="s">
        <v>80</v>
      </c>
      <c r="B71" s="1341"/>
      <c r="C71" s="1341"/>
      <c r="D71" s="1341"/>
      <c r="E71" s="1341"/>
      <c r="F71" s="1341"/>
      <c r="G71" s="1341"/>
      <c r="H71" s="1341"/>
      <c r="I71" s="1341"/>
      <c r="J71" s="1341"/>
      <c r="K71" s="1341"/>
      <c r="L71" s="1341"/>
      <c r="M71" s="1341"/>
      <c r="N71" s="1341"/>
      <c r="O71" s="1341"/>
      <c r="V71" s="992"/>
      <c r="W71" s="992"/>
      <c r="X71" s="992"/>
      <c r="Y71" s="992"/>
      <c r="Z71" s="992"/>
      <c r="AA71" s="992"/>
      <c r="AB71" s="992"/>
      <c r="AC71" s="992"/>
      <c r="AJ71" s="975" t="s">
        <v>381</v>
      </c>
    </row>
    <row r="72" spans="5:29" s="975" customFormat="1" ht="12.75" customHeight="1" hidden="1">
      <c r="E72" s="995"/>
      <c r="F72" s="995"/>
      <c r="G72" s="996"/>
      <c r="K72" s="997"/>
      <c r="L72" s="994"/>
      <c r="M72" s="994"/>
      <c r="N72" s="994"/>
      <c r="O72" s="994"/>
      <c r="V72" s="992"/>
      <c r="W72" s="992"/>
      <c r="X72" s="992"/>
      <c r="Y72" s="992"/>
      <c r="Z72" s="992"/>
      <c r="AA72" s="992"/>
      <c r="AB72" s="992"/>
      <c r="AC72" s="992"/>
    </row>
    <row r="73" spans="1:15" ht="12.75" customHeight="1" hidden="1">
      <c r="A73" s="914"/>
      <c r="E73" s="1000"/>
      <c r="F73" s="1000"/>
      <c r="G73" s="1010"/>
      <c r="K73" s="1011"/>
      <c r="L73" s="1012"/>
      <c r="M73" s="1012"/>
      <c r="N73" s="1012"/>
      <c r="O73" s="1012"/>
    </row>
    <row r="74" spans="1:15" ht="15.75" hidden="1">
      <c r="A74" s="1013" t="s">
        <v>316</v>
      </c>
      <c r="E74" s="1000"/>
      <c r="F74" s="1000"/>
      <c r="G74" s="1010"/>
      <c r="K74" s="1011"/>
      <c r="L74" s="1012"/>
      <c r="M74" s="1012"/>
      <c r="N74" s="1012"/>
      <c r="O74" s="1012"/>
    </row>
    <row r="75" spans="1:15" ht="13.5" customHeight="1" hidden="1">
      <c r="A75" s="1014" t="s">
        <v>81</v>
      </c>
      <c r="E75" s="1000"/>
      <c r="F75" s="1000"/>
      <c r="G75" s="1010"/>
      <c r="K75" s="1011"/>
      <c r="L75" s="1012"/>
      <c r="M75" s="1012"/>
      <c r="N75" s="1012"/>
      <c r="O75" s="1012"/>
    </row>
    <row r="76" spans="5:15" ht="3" customHeight="1" hidden="1">
      <c r="E76" s="1000"/>
      <c r="F76" s="1000"/>
      <c r="G76" s="1010"/>
      <c r="K76" s="1011"/>
      <c r="L76" s="1012"/>
      <c r="M76" s="1012"/>
      <c r="N76" s="1012"/>
      <c r="O76" s="1012"/>
    </row>
    <row r="77" spans="2:39" ht="13.5" customHeight="1" hidden="1">
      <c r="B77" s="1015" t="str">
        <f>IF(alapadatok!D174="","",alapadatok!D174)</f>
        <v>X</v>
      </c>
      <c r="D77" s="916" t="s">
        <v>64</v>
      </c>
      <c r="E77" s="1000"/>
      <c r="F77" s="1000"/>
      <c r="G77" s="1015">
        <f>IF(alapadatok!D175="","",alapadatok!D175)</f>
      </c>
      <c r="H77" s="916" t="s">
        <v>319</v>
      </c>
      <c r="K77" s="1011"/>
      <c r="L77" s="1012"/>
      <c r="M77" s="1012"/>
      <c r="N77" s="1012"/>
      <c r="O77" s="1012"/>
      <c r="R77" s="920">
        <f>IF(B77="",0,1)</f>
        <v>1</v>
      </c>
      <c r="S77" s="920"/>
      <c r="T77" s="920"/>
      <c r="U77" s="920"/>
      <c r="V77" s="919"/>
      <c r="W77" s="919"/>
      <c r="X77" s="919"/>
      <c r="Y77" s="919"/>
      <c r="Z77" s="919"/>
      <c r="AA77" s="919"/>
      <c r="AB77" s="919"/>
      <c r="AC77" s="919"/>
      <c r="AD77" s="920"/>
      <c r="AE77" s="920"/>
      <c r="AF77" s="920"/>
      <c r="AG77" s="920"/>
      <c r="AH77" s="920"/>
      <c r="AI77" s="920"/>
      <c r="AJ77" s="920"/>
      <c r="AK77" s="920"/>
      <c r="AL77" s="920"/>
      <c r="AM77" s="920"/>
    </row>
    <row r="78" spans="1:45" s="1017" customFormat="1" ht="17.25" customHeight="1">
      <c r="A78" s="1342" t="str">
        <f>AS78</f>
        <v>Más adóhatóságnál (állami, önkormányzati adóhatóságnál, vámhatóságnál, illetékhivatalnál) nincs tartozásom. </v>
      </c>
      <c r="B78" s="1342"/>
      <c r="C78" s="1342"/>
      <c r="D78" s="1342"/>
      <c r="E78" s="1342"/>
      <c r="F78" s="1342"/>
      <c r="G78" s="1342"/>
      <c r="H78" s="1342"/>
      <c r="I78" s="1342"/>
      <c r="J78" s="1342"/>
      <c r="K78" s="1342"/>
      <c r="L78" s="1342"/>
      <c r="M78" s="1342"/>
      <c r="N78" s="1343"/>
      <c r="O78" s="1016"/>
      <c r="R78" s="1017">
        <f>IF(G77="",0,1)</f>
        <v>0</v>
      </c>
      <c r="S78" s="1017">
        <f>R77+R78</f>
        <v>1</v>
      </c>
      <c r="V78" s="1018"/>
      <c r="W78" s="1018"/>
      <c r="X78" s="1018"/>
      <c r="Y78" s="1018"/>
      <c r="Z78" s="1018"/>
      <c r="AA78" s="1018"/>
      <c r="AB78" s="1018"/>
      <c r="AC78" s="1018"/>
      <c r="AS78" s="1017" t="s">
        <v>320</v>
      </c>
    </row>
    <row r="79" spans="1:39" s="1024" customFormat="1" ht="15">
      <c r="A79" s="1013" t="s">
        <v>82</v>
      </c>
      <c r="B79" s="1019" t="s">
        <v>321</v>
      </c>
      <c r="C79" s="1019"/>
      <c r="D79" s="1019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1"/>
      <c r="S79" s="1021"/>
      <c r="T79" s="1021"/>
      <c r="U79" s="1021"/>
      <c r="V79" s="1021"/>
      <c r="W79" s="1021"/>
      <c r="X79" s="1021"/>
      <c r="Y79" s="1021"/>
      <c r="Z79" s="1021"/>
      <c r="AA79" s="1021"/>
      <c r="AB79" s="1021"/>
      <c r="AC79" s="1021"/>
      <c r="AD79" s="1021"/>
      <c r="AE79" s="1021"/>
      <c r="AF79" s="1021"/>
      <c r="AG79" s="1022"/>
      <c r="AH79" s="1023"/>
      <c r="AI79" s="1023"/>
      <c r="AJ79" s="1023"/>
      <c r="AK79" s="1023"/>
      <c r="AL79" s="1023"/>
      <c r="AM79" s="1023"/>
    </row>
    <row r="80" spans="1:39" s="1024" customFormat="1" ht="5.25" customHeight="1">
      <c r="A80" s="1020"/>
      <c r="B80" s="1020"/>
      <c r="C80" s="1020"/>
      <c r="D80" s="1020"/>
      <c r="E80" s="1020"/>
      <c r="F80" s="1020"/>
      <c r="G80" s="1020"/>
      <c r="H80" s="1020"/>
      <c r="I80" s="1020"/>
      <c r="J80" s="1020"/>
      <c r="K80" s="1020"/>
      <c r="L80" s="1020"/>
      <c r="M80" s="1020"/>
      <c r="N80" s="1020"/>
      <c r="O80" s="1020"/>
      <c r="P80" s="1020"/>
      <c r="Q80" s="1020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021"/>
      <c r="AE80" s="1021"/>
      <c r="AF80" s="1021"/>
      <c r="AG80" s="1022"/>
      <c r="AH80" s="1023"/>
      <c r="AI80" s="1023"/>
      <c r="AJ80" s="1023"/>
      <c r="AK80" s="1023"/>
      <c r="AL80" s="1023"/>
      <c r="AM80" s="1023"/>
    </row>
    <row r="81" spans="1:39" s="1024" customFormat="1" ht="15.75">
      <c r="A81" s="1020"/>
      <c r="B81" s="1347" t="str">
        <f>'2. oldal'!B81:D81</f>
        <v>Szabadszállás</v>
      </c>
      <c r="C81" s="1347"/>
      <c r="D81" s="1347"/>
      <c r="E81" s="1025">
        <f>'2. oldal'!E81</f>
        <v>2013</v>
      </c>
      <c r="F81" s="1026"/>
      <c r="G81" s="1027" t="s">
        <v>134</v>
      </c>
      <c r="H81" s="1025">
        <f>'2. oldal'!H81</f>
        <v>0</v>
      </c>
      <c r="I81" s="1020" t="s">
        <v>135</v>
      </c>
      <c r="L81" s="1020"/>
      <c r="M81" s="1020"/>
      <c r="N81" s="1025">
        <f>'2. oldal'!N81</f>
        <v>0</v>
      </c>
      <c r="O81" s="1020" t="s">
        <v>210</v>
      </c>
      <c r="P81" s="1020"/>
      <c r="Q81" s="1020"/>
      <c r="R81" s="1021"/>
      <c r="S81" s="1021"/>
      <c r="T81" s="1021"/>
      <c r="U81" s="1021"/>
      <c r="V81" s="1021"/>
      <c r="W81" s="1021"/>
      <c r="X81" s="1021"/>
      <c r="Y81" s="1021"/>
      <c r="Z81" s="1021"/>
      <c r="AA81" s="1021"/>
      <c r="AB81" s="1021"/>
      <c r="AC81" s="1021"/>
      <c r="AD81" s="1021"/>
      <c r="AE81" s="1021"/>
      <c r="AF81" s="1021"/>
      <c r="AG81" s="1022"/>
      <c r="AH81" s="1023"/>
      <c r="AI81" s="1023">
        <f>IF(B81="",0,1)</f>
        <v>1</v>
      </c>
      <c r="AJ81" s="1023">
        <f>IF(E81="",0,1)</f>
        <v>1</v>
      </c>
      <c r="AK81" s="1023">
        <f>IF(H81="",0,1)</f>
        <v>1</v>
      </c>
      <c r="AL81" s="1023">
        <f>IF(N81="",0,1)</f>
        <v>1</v>
      </c>
      <c r="AM81" s="1023">
        <f>AI81+AJ81+AK81+AL81</f>
        <v>4</v>
      </c>
    </row>
    <row r="82" spans="1:39" s="1024" customFormat="1" ht="15">
      <c r="A82" s="1020"/>
      <c r="B82" s="1028" t="s">
        <v>322</v>
      </c>
      <c r="C82" s="1028"/>
      <c r="D82" s="1028" t="str">
        <f>E82</f>
        <v>www.iparuzes.hu                   .</v>
      </c>
      <c r="E82" s="1029" t="str">
        <f>IF(Reg!K30="sikeres regisztráció",Reg!K26,"DEMÓ FELHASZNÁLÓ. KÉREM, REGISZTRÁLJA!")</f>
        <v>www.iparuzes.hu                   .</v>
      </c>
      <c r="F82" s="103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1"/>
      <c r="S82" s="1021"/>
      <c r="T82" s="1021"/>
      <c r="U82" s="1021"/>
      <c r="V82" s="1021"/>
      <c r="W82" s="1021"/>
      <c r="X82" s="1021"/>
      <c r="Y82" s="1021"/>
      <c r="Z82" s="1021"/>
      <c r="AA82" s="1021"/>
      <c r="AB82" s="1021"/>
      <c r="AC82" s="1021"/>
      <c r="AD82" s="1021"/>
      <c r="AE82" s="1021"/>
      <c r="AF82" s="1021"/>
      <c r="AG82" s="1022"/>
      <c r="AH82" s="1023"/>
      <c r="AI82" s="1023"/>
      <c r="AJ82" s="1023"/>
      <c r="AK82" s="1023"/>
      <c r="AL82" s="1023"/>
      <c r="AM82" s="1023"/>
    </row>
    <row r="83" spans="1:33" s="1024" customFormat="1" ht="6" customHeight="1">
      <c r="A83" s="1020"/>
      <c r="B83" s="1020"/>
      <c r="C83" s="1020"/>
      <c r="D83" s="1020"/>
      <c r="E83" s="1020"/>
      <c r="F83" s="1020"/>
      <c r="G83" s="1348"/>
      <c r="H83" s="1348"/>
      <c r="I83" s="1348"/>
      <c r="J83" s="1348"/>
      <c r="K83" s="1348"/>
      <c r="L83" s="1348"/>
      <c r="M83" s="1348"/>
      <c r="N83" s="1348"/>
      <c r="O83" s="1348"/>
      <c r="Q83" s="1010"/>
      <c r="R83" s="1010"/>
      <c r="S83" s="1010"/>
      <c r="T83" s="1010"/>
      <c r="U83" s="1010"/>
      <c r="V83" s="1010"/>
      <c r="W83" s="1010"/>
      <c r="X83" s="1010"/>
      <c r="Y83" s="1010"/>
      <c r="Z83" s="1010"/>
      <c r="AA83" s="1010"/>
      <c r="AB83" s="1010"/>
      <c r="AC83" s="1010"/>
      <c r="AD83" s="1010"/>
      <c r="AE83" s="1010"/>
      <c r="AF83" s="1010"/>
      <c r="AG83" s="1010"/>
    </row>
    <row r="84" spans="1:33" s="1024" customFormat="1" ht="13.5" customHeight="1">
      <c r="A84" s="1031">
        <f>IF(B84="",0,1)</f>
        <v>0</v>
      </c>
      <c r="B84" s="1032">
        <f>IF(S78=1,"","Hibás az előleg nyilatkozat!")</f>
      </c>
      <c r="C84" s="1020"/>
      <c r="D84" s="1020"/>
      <c r="E84" s="1020"/>
      <c r="F84" s="1020"/>
      <c r="G84" s="1345" t="s">
        <v>323</v>
      </c>
      <c r="H84" s="1345"/>
      <c r="I84" s="1345"/>
      <c r="J84" s="1345"/>
      <c r="K84" s="1345"/>
      <c r="L84" s="1345"/>
      <c r="M84" s="1345"/>
      <c r="N84" s="1345"/>
      <c r="O84" s="1345"/>
      <c r="P84" s="1020"/>
      <c r="Q84" s="1020"/>
      <c r="R84" s="1020"/>
      <c r="S84" s="1020"/>
      <c r="T84" s="1020"/>
      <c r="U84" s="1020"/>
      <c r="V84" s="1020"/>
      <c r="W84" s="1020"/>
      <c r="X84" s="1020"/>
      <c r="Y84" s="1020"/>
      <c r="Z84" s="1020"/>
      <c r="AA84" s="1020"/>
      <c r="AB84" s="1020"/>
      <c r="AC84" s="1020"/>
      <c r="AD84" s="1020"/>
      <c r="AE84" s="1020"/>
      <c r="AF84" s="1020"/>
      <c r="AG84" s="1034"/>
    </row>
    <row r="85" spans="1:33" s="1024" customFormat="1" ht="3.75" customHeight="1">
      <c r="A85" s="1031"/>
      <c r="B85" s="1032"/>
      <c r="C85" s="1020"/>
      <c r="D85" s="1020"/>
      <c r="E85" s="1020"/>
      <c r="F85" s="1020"/>
      <c r="G85" s="1033"/>
      <c r="H85" s="1001"/>
      <c r="I85" s="1001"/>
      <c r="J85" s="1001"/>
      <c r="K85" s="1001"/>
      <c r="L85" s="1001"/>
      <c r="M85" s="1001"/>
      <c r="N85" s="1001"/>
      <c r="O85" s="1001"/>
      <c r="P85" s="1020"/>
      <c r="Q85" s="1020"/>
      <c r="R85" s="1020"/>
      <c r="S85" s="1020"/>
      <c r="T85" s="1020"/>
      <c r="U85" s="1020"/>
      <c r="V85" s="1020"/>
      <c r="W85" s="1020"/>
      <c r="X85" s="1020"/>
      <c r="Y85" s="1020"/>
      <c r="Z85" s="1020"/>
      <c r="AA85" s="1020"/>
      <c r="AB85" s="1020"/>
      <c r="AC85" s="1020"/>
      <c r="AD85" s="1020"/>
      <c r="AE85" s="1020"/>
      <c r="AF85" s="1020"/>
      <c r="AG85" s="1020"/>
    </row>
    <row r="86" spans="1:33" s="1024" customFormat="1" ht="18.75" customHeight="1">
      <c r="A86" s="1035" t="s">
        <v>324</v>
      </c>
      <c r="B86" s="1036"/>
      <c r="C86" s="1020"/>
      <c r="D86" s="1020"/>
      <c r="E86" s="1037"/>
      <c r="F86" s="1344" t="s">
        <v>325</v>
      </c>
      <c r="G86" s="1344"/>
      <c r="H86" s="1344"/>
      <c r="I86" s="1344"/>
      <c r="J86" s="1344"/>
      <c r="K86" s="1344"/>
      <c r="L86" s="1344"/>
      <c r="M86" s="1344"/>
      <c r="N86" s="1344"/>
      <c r="O86" s="1001"/>
      <c r="P86" s="1038"/>
      <c r="Q86" s="1020"/>
      <c r="R86" s="1020"/>
      <c r="S86" s="1020"/>
      <c r="T86" s="1020"/>
      <c r="U86" s="1020"/>
      <c r="V86" s="1020"/>
      <c r="W86" s="1020"/>
      <c r="X86" s="1020"/>
      <c r="Y86" s="1020"/>
      <c r="Z86" s="1020"/>
      <c r="AA86" s="1020"/>
      <c r="AB86" s="1020"/>
      <c r="AC86" s="1020"/>
      <c r="AD86" s="1020"/>
      <c r="AE86" s="1020"/>
      <c r="AF86" s="1020"/>
      <c r="AG86" s="1020"/>
    </row>
    <row r="87" spans="1:33" s="1024" customFormat="1" ht="11.25" customHeight="1">
      <c r="A87" s="1039" t="s">
        <v>326</v>
      </c>
      <c r="B87" s="1036"/>
      <c r="C87" s="1020"/>
      <c r="D87" s="1020"/>
      <c r="E87" s="1020"/>
      <c r="F87" s="1020"/>
      <c r="G87" s="1033"/>
      <c r="H87" s="1001"/>
      <c r="I87" s="1001"/>
      <c r="J87" s="1001"/>
      <c r="K87" s="1001"/>
      <c r="L87" s="1001"/>
      <c r="M87" s="1001"/>
      <c r="N87" s="1001"/>
      <c r="O87" s="1001"/>
      <c r="P87" s="1020"/>
      <c r="Q87" s="1020"/>
      <c r="R87" s="1020"/>
      <c r="S87" s="1020"/>
      <c r="T87" s="1020"/>
      <c r="U87" s="1020"/>
      <c r="V87" s="1020"/>
      <c r="W87" s="1020"/>
      <c r="X87" s="1020"/>
      <c r="Y87" s="1020"/>
      <c r="Z87" s="1020"/>
      <c r="AA87" s="1020"/>
      <c r="AB87" s="1020"/>
      <c r="AC87" s="1020"/>
      <c r="AD87" s="1020"/>
      <c r="AE87" s="1020"/>
      <c r="AF87" s="1020"/>
      <c r="AG87" s="1020"/>
    </row>
    <row r="88" spans="1:33" s="1024" customFormat="1" ht="13.5" customHeight="1">
      <c r="A88" s="1346"/>
      <c r="B88" s="1346"/>
      <c r="C88" s="1346"/>
      <c r="D88" s="1346"/>
      <c r="E88" s="1346"/>
      <c r="F88" s="1344" t="s">
        <v>327</v>
      </c>
      <c r="G88" s="1344"/>
      <c r="H88" s="1344"/>
      <c r="I88" s="1344"/>
      <c r="J88" s="1344"/>
      <c r="K88" s="1344"/>
      <c r="L88" s="1344"/>
      <c r="M88" s="1344"/>
      <c r="N88" s="1344"/>
      <c r="O88" s="1001"/>
      <c r="P88" s="1038"/>
      <c r="Q88" s="1020"/>
      <c r="R88" s="1020"/>
      <c r="S88" s="1020"/>
      <c r="T88" s="1020"/>
      <c r="U88" s="1020"/>
      <c r="V88" s="1020"/>
      <c r="W88" s="1020"/>
      <c r="X88" s="1020"/>
      <c r="Y88" s="1020"/>
      <c r="Z88" s="1020"/>
      <c r="AA88" s="1020"/>
      <c r="AB88" s="1020"/>
      <c r="AC88" s="1020"/>
      <c r="AD88" s="1020"/>
      <c r="AE88" s="1020"/>
      <c r="AF88" s="1020"/>
      <c r="AG88" s="1020"/>
    </row>
    <row r="89" spans="1:33" s="1024" customFormat="1" ht="3.75" customHeight="1">
      <c r="A89" s="914"/>
      <c r="B89" s="1036"/>
      <c r="C89" s="1020"/>
      <c r="D89" s="1020"/>
      <c r="E89" s="1020"/>
      <c r="F89" s="1020"/>
      <c r="G89" s="1033"/>
      <c r="H89" s="1001"/>
      <c r="I89" s="1001"/>
      <c r="J89" s="1001"/>
      <c r="K89" s="1001"/>
      <c r="L89" s="1001"/>
      <c r="M89" s="1001"/>
      <c r="N89" s="1001"/>
      <c r="O89" s="1001"/>
      <c r="P89" s="1020"/>
      <c r="Q89" s="1020"/>
      <c r="R89" s="1020"/>
      <c r="S89" s="1020"/>
      <c r="T89" s="1020"/>
      <c r="U89" s="1020"/>
      <c r="V89" s="1020"/>
      <c r="W89" s="1020"/>
      <c r="X89" s="1020"/>
      <c r="Y89" s="1020"/>
      <c r="Z89" s="1020"/>
      <c r="AA89" s="1020"/>
      <c r="AB89" s="1020"/>
      <c r="AC89" s="1020"/>
      <c r="AD89" s="1020"/>
      <c r="AE89" s="1020"/>
      <c r="AF89" s="1020"/>
      <c r="AG89" s="1020"/>
    </row>
    <row r="90" spans="1:33" s="1024" customFormat="1" ht="13.5" customHeight="1">
      <c r="A90" s="1039" t="s">
        <v>328</v>
      </c>
      <c r="B90" s="1036"/>
      <c r="C90" s="1020"/>
      <c r="D90" s="1020"/>
      <c r="E90" s="1040"/>
      <c r="F90" s="1344" t="s">
        <v>329</v>
      </c>
      <c r="G90" s="1344"/>
      <c r="H90" s="1344"/>
      <c r="I90" s="1344"/>
      <c r="J90" s="1344"/>
      <c r="K90" s="1344"/>
      <c r="L90" s="1344"/>
      <c r="M90" s="1344"/>
      <c r="N90" s="1344"/>
      <c r="O90" s="1001"/>
      <c r="P90" s="1038"/>
      <c r="Q90" s="1020"/>
      <c r="R90" s="1020"/>
      <c r="S90" s="1020"/>
      <c r="T90" s="1020"/>
      <c r="U90" s="1020"/>
      <c r="V90" s="1020"/>
      <c r="W90" s="1020"/>
      <c r="X90" s="1020"/>
      <c r="Y90" s="1020"/>
      <c r="Z90" s="1020"/>
      <c r="AA90" s="1020"/>
      <c r="AB90" s="1020"/>
      <c r="AC90" s="1020"/>
      <c r="AD90" s="1020"/>
      <c r="AE90" s="1020"/>
      <c r="AF90" s="1020"/>
      <c r="AG90" s="1020"/>
    </row>
    <row r="91" spans="1:33" s="1024" customFormat="1" ht="2.25" customHeight="1">
      <c r="A91" s="914"/>
      <c r="B91" s="1036"/>
      <c r="C91" s="1020"/>
      <c r="D91" s="1020"/>
      <c r="E91" s="1020"/>
      <c r="F91" s="1020"/>
      <c r="G91" s="1033"/>
      <c r="H91" s="1001"/>
      <c r="I91" s="1001"/>
      <c r="J91" s="1001"/>
      <c r="K91" s="1001"/>
      <c r="L91" s="1001"/>
      <c r="M91" s="1001"/>
      <c r="N91" s="1001"/>
      <c r="O91" s="1001"/>
      <c r="P91" s="1020"/>
      <c r="Q91" s="1020"/>
      <c r="R91" s="1020"/>
      <c r="S91" s="1020"/>
      <c r="T91" s="1020"/>
      <c r="U91" s="1020"/>
      <c r="V91" s="1020"/>
      <c r="W91" s="1020"/>
      <c r="X91" s="1020"/>
      <c r="Y91" s="1020"/>
      <c r="Z91" s="1020"/>
      <c r="AA91" s="1020"/>
      <c r="AB91" s="1020"/>
      <c r="AC91" s="1020"/>
      <c r="AD91" s="1020"/>
      <c r="AE91" s="1020"/>
      <c r="AF91" s="1020"/>
      <c r="AG91" s="1020"/>
    </row>
    <row r="92" spans="1:33" s="1024" customFormat="1" ht="13.5" customHeight="1">
      <c r="A92" s="1039" t="s">
        <v>330</v>
      </c>
      <c r="B92" s="1036"/>
      <c r="C92" s="1020"/>
      <c r="D92" s="1020"/>
      <c r="E92" s="1040"/>
      <c r="F92" s="1020"/>
      <c r="G92" s="1033"/>
      <c r="H92" s="1001"/>
      <c r="I92" s="1001"/>
      <c r="J92" s="1001"/>
      <c r="K92" s="1001"/>
      <c r="L92" s="1001"/>
      <c r="M92" s="1001"/>
      <c r="N92" s="1001"/>
      <c r="O92" s="1001"/>
      <c r="P92" s="1020"/>
      <c r="Q92" s="1020"/>
      <c r="R92" s="1020"/>
      <c r="S92" s="1020"/>
      <c r="T92" s="1020"/>
      <c r="U92" s="1020"/>
      <c r="V92" s="1020"/>
      <c r="W92" s="1020"/>
      <c r="X92" s="1020"/>
      <c r="Y92" s="1020"/>
      <c r="Z92" s="1020"/>
      <c r="AA92" s="1020"/>
      <c r="AB92" s="1020"/>
      <c r="AC92" s="1020"/>
      <c r="AD92" s="1020"/>
      <c r="AE92" s="1020"/>
      <c r="AF92" s="1020"/>
      <c r="AG92" s="1020"/>
    </row>
    <row r="93" spans="1:33" s="1024" customFormat="1" ht="3" customHeight="1">
      <c r="A93" s="914"/>
      <c r="B93" s="1036"/>
      <c r="C93" s="1020"/>
      <c r="D93" s="1020"/>
      <c r="E93" s="1020"/>
      <c r="F93" s="1020"/>
      <c r="G93" s="1033"/>
      <c r="H93" s="1001"/>
      <c r="I93" s="1001"/>
      <c r="J93" s="1001"/>
      <c r="K93" s="1001"/>
      <c r="L93" s="1001"/>
      <c r="M93" s="1001"/>
      <c r="N93" s="1001"/>
      <c r="O93" s="1001"/>
      <c r="P93" s="1020"/>
      <c r="Q93" s="1020"/>
      <c r="R93" s="1020"/>
      <c r="S93" s="1020"/>
      <c r="T93" s="1020"/>
      <c r="U93" s="1020"/>
      <c r="V93" s="1020"/>
      <c r="W93" s="1020"/>
      <c r="X93" s="1020"/>
      <c r="Y93" s="1020"/>
      <c r="Z93" s="1020"/>
      <c r="AA93" s="1020"/>
      <c r="AB93" s="1020"/>
      <c r="AC93" s="1020"/>
      <c r="AD93" s="1020"/>
      <c r="AE93" s="1020"/>
      <c r="AF93" s="1020"/>
      <c r="AG93" s="1020"/>
    </row>
    <row r="94" spans="1:33" s="1024" customFormat="1" ht="12.75" customHeight="1" hidden="1">
      <c r="A94" s="914"/>
      <c r="B94" s="1036"/>
      <c r="C94" s="1020"/>
      <c r="D94" s="1020"/>
      <c r="E94" s="1020"/>
      <c r="F94" s="1020"/>
      <c r="G94" s="1033"/>
      <c r="H94" s="1001"/>
      <c r="I94" s="1001"/>
      <c r="J94" s="1001"/>
      <c r="K94" s="1001"/>
      <c r="L94" s="1001"/>
      <c r="M94" s="1001"/>
      <c r="N94" s="1001"/>
      <c r="O94" s="1001"/>
      <c r="P94" s="1020"/>
      <c r="Q94" s="1020"/>
      <c r="R94" s="1020"/>
      <c r="S94" s="1020"/>
      <c r="T94" s="1020"/>
      <c r="U94" s="1020"/>
      <c r="V94" s="1020"/>
      <c r="W94" s="1020"/>
      <c r="X94" s="1020"/>
      <c r="Y94" s="1020"/>
      <c r="Z94" s="1020"/>
      <c r="AA94" s="1020"/>
      <c r="AB94" s="1020"/>
      <c r="AC94" s="1020"/>
      <c r="AD94" s="1020"/>
      <c r="AE94" s="1020"/>
      <c r="AF94" s="1020"/>
      <c r="AG94" s="1020"/>
    </row>
    <row r="95" spans="1:33" s="1024" customFormat="1" ht="12.75" customHeight="1" hidden="1">
      <c r="A95" s="914"/>
      <c r="B95" s="1036"/>
      <c r="C95" s="1020"/>
      <c r="D95" s="1020"/>
      <c r="E95" s="1020"/>
      <c r="F95" s="1020"/>
      <c r="G95" s="1033"/>
      <c r="H95" s="1001"/>
      <c r="I95" s="1001"/>
      <c r="J95" s="1001"/>
      <c r="K95" s="1001"/>
      <c r="L95" s="1001"/>
      <c r="M95" s="1001"/>
      <c r="N95" s="1001"/>
      <c r="O95" s="1001"/>
      <c r="P95" s="1020"/>
      <c r="Q95" s="1020"/>
      <c r="R95" s="1020"/>
      <c r="S95" s="1020"/>
      <c r="T95" s="1020"/>
      <c r="U95" s="1020"/>
      <c r="V95" s="1020"/>
      <c r="W95" s="1020"/>
      <c r="X95" s="1020"/>
      <c r="Y95" s="1020"/>
      <c r="Z95" s="1020"/>
      <c r="AA95" s="1020"/>
      <c r="AB95" s="1020"/>
      <c r="AC95" s="1020"/>
      <c r="AD95" s="1020"/>
      <c r="AE95" s="1020"/>
      <c r="AF95" s="1020"/>
      <c r="AG95" s="1020"/>
    </row>
    <row r="96" spans="1:6" ht="12" customHeight="1">
      <c r="A96" s="1031">
        <f>IF(B96="",0,1)</f>
        <v>0</v>
      </c>
      <c r="B96" s="434">
        <f>IF(AN23=0,"","Egyszerűsített adómegállípításnál ne töltse ki a 2-6. sort!")</f>
      </c>
      <c r="C96" s="1031"/>
      <c r="D96" s="1031"/>
      <c r="F96" s="1032"/>
    </row>
    <row r="97" spans="1:17" ht="12" customHeight="1">
      <c r="A97" s="1031">
        <f>IF(B97="",0,1)</f>
        <v>0</v>
      </c>
      <c r="B97" s="1032">
        <f>IF(Q97=0,"","Adóalapot, adókedvezményt hibásan állapított meg!")</f>
      </c>
      <c r="C97" s="1031"/>
      <c r="D97" s="1031"/>
      <c r="F97" s="1032"/>
      <c r="Q97" s="916">
        <f>Q37+Q29</f>
        <v>0</v>
      </c>
    </row>
    <row r="98" spans="1:11" ht="15.75">
      <c r="A98" s="1031">
        <f>SUM(A84:A97)</f>
        <v>0</v>
      </c>
      <c r="B98" s="1031"/>
      <c r="C98" s="1041" t="str">
        <f>IF(A98=0,"E L L E N Ő R Z Ö T T","H I B Á S")</f>
        <v>E L L E N Ő R Z Ö T T</v>
      </c>
      <c r="D98" s="1031"/>
      <c r="G98" s="1042" t="str">
        <f>'1. oldal'!M131</f>
        <v> VAN HIBÁS LAP !</v>
      </c>
      <c r="K98" s="1043">
        <f>IF(C98="E L L E N Ő R Z Ö T T",0,1)</f>
        <v>0</v>
      </c>
    </row>
    <row r="99" ht="14.25" customHeight="1" hidden="1"/>
    <row r="100" spans="5:13" ht="15" hidden="1">
      <c r="E100" s="916"/>
      <c r="F100" s="916"/>
      <c r="G100" s="916"/>
      <c r="I100" s="916">
        <f>IF('F.LAP'!K24+'F.LAP'!K25&gt;0,1,0)</f>
        <v>0</v>
      </c>
      <c r="J100" s="916">
        <f>IF(I100=1,"X","")</f>
      </c>
      <c r="K100" s="918">
        <f>J100</f>
      </c>
      <c r="L100" s="916">
        <f>IF(I102=1,1,0)</f>
        <v>0</v>
      </c>
      <c r="M100" s="916">
        <f>IF(K56="X",1,0)</f>
        <v>0</v>
      </c>
    </row>
    <row r="101" spans="5:13" ht="15" hidden="1">
      <c r="E101" s="916"/>
      <c r="F101" s="916"/>
      <c r="G101" s="916"/>
      <c r="I101" s="916">
        <f>IF('F.LAP'!K27+'F.LAP'!K28&gt;0,1,0)</f>
        <v>0</v>
      </c>
      <c r="J101" s="916">
        <f>IF(I101=1,"X","")</f>
      </c>
      <c r="K101" s="918">
        <f>J101</f>
      </c>
      <c r="L101" s="916">
        <f>IF(I102=1,1,0)</f>
        <v>0</v>
      </c>
      <c r="M101" s="916">
        <f>IF(K57="X",1,0)</f>
        <v>0</v>
      </c>
    </row>
    <row r="102" spans="5:13" ht="15" hidden="1">
      <c r="E102" s="916"/>
      <c r="F102" s="916"/>
      <c r="G102" s="916"/>
      <c r="I102" s="916">
        <f>IF(I100+I101=2,1,0)</f>
        <v>0</v>
      </c>
      <c r="J102" s="916">
        <f>IF(I102=1,"X","")</f>
      </c>
      <c r="K102" s="918">
        <f>J102</f>
      </c>
      <c r="M102" s="916">
        <f>IF(K58="X",1,0)</f>
        <v>0</v>
      </c>
    </row>
    <row r="103" spans="5:13" ht="15" hidden="1">
      <c r="E103" s="916"/>
      <c r="F103" s="916"/>
      <c r="G103" s="916"/>
      <c r="I103" s="916">
        <f>IF('F.LAP'!K31+'F.LAP'!K29&gt;0,1,0)</f>
        <v>0</v>
      </c>
      <c r="J103" s="916">
        <f>IF(I103=1,"X","")</f>
      </c>
      <c r="K103" s="918">
        <f>J103</f>
      </c>
      <c r="L103" s="916">
        <f>IF(H105=1,1,0)</f>
        <v>0</v>
      </c>
      <c r="M103" s="916">
        <f>IF(K59="X",1,0)</f>
        <v>0</v>
      </c>
    </row>
    <row r="104" spans="5:13" ht="15" hidden="1">
      <c r="E104" s="916"/>
      <c r="F104" s="916"/>
      <c r="G104" s="916"/>
      <c r="I104" s="916">
        <f>SUM(I100:I102)</f>
        <v>0</v>
      </c>
      <c r="K104" s="918"/>
      <c r="L104" s="918"/>
      <c r="M104" s="916">
        <f>SUM(M100:M102)</f>
        <v>0</v>
      </c>
    </row>
    <row r="105" spans="5:6" ht="15">
      <c r="E105" s="1032"/>
      <c r="F105" s="1032"/>
    </row>
  </sheetData>
  <sheetProtection password="C1DD" sheet="1" objects="1" scenarios="1"/>
  <mergeCells count="80">
    <mergeCell ref="B14:G14"/>
    <mergeCell ref="A15:G16"/>
    <mergeCell ref="H15:H16"/>
    <mergeCell ref="I15:O16"/>
    <mergeCell ref="B19:G19"/>
    <mergeCell ref="B20:G20"/>
    <mergeCell ref="B17:G17"/>
    <mergeCell ref="B18:G18"/>
    <mergeCell ref="AD21:AG21"/>
    <mergeCell ref="B22:G22"/>
    <mergeCell ref="R22:U22"/>
    <mergeCell ref="V22:Y22"/>
    <mergeCell ref="Z22:AC22"/>
    <mergeCell ref="AD22:AG22"/>
    <mergeCell ref="B21:G21"/>
    <mergeCell ref="R21:U21"/>
    <mergeCell ref="V21:Y21"/>
    <mergeCell ref="Z21:AC21"/>
    <mergeCell ref="B25:G25"/>
    <mergeCell ref="B26:G26"/>
    <mergeCell ref="B23:G23"/>
    <mergeCell ref="R23:U23"/>
    <mergeCell ref="AD23:AG23"/>
    <mergeCell ref="B24:G24"/>
    <mergeCell ref="V23:Y23"/>
    <mergeCell ref="Z23:AC23"/>
    <mergeCell ref="B27:G27"/>
    <mergeCell ref="AJ27:AR28"/>
    <mergeCell ref="B28:G28"/>
    <mergeCell ref="R28:U28"/>
    <mergeCell ref="V28:Y28"/>
    <mergeCell ref="Z28:AC28"/>
    <mergeCell ref="AD28:AG28"/>
    <mergeCell ref="B36:E36"/>
    <mergeCell ref="F36:G36"/>
    <mergeCell ref="B29:G29"/>
    <mergeCell ref="AD29:AG29"/>
    <mergeCell ref="E30:G30"/>
    <mergeCell ref="AD30:AG30"/>
    <mergeCell ref="E31:G31"/>
    <mergeCell ref="AD31:AG31"/>
    <mergeCell ref="E32:G32"/>
    <mergeCell ref="E33:G33"/>
    <mergeCell ref="E34:G34"/>
    <mergeCell ref="B35:G35"/>
    <mergeCell ref="E47:G47"/>
    <mergeCell ref="E48:G48"/>
    <mergeCell ref="B37:G37"/>
    <mergeCell ref="E38:G38"/>
    <mergeCell ref="E39:G39"/>
    <mergeCell ref="E40:G40"/>
    <mergeCell ref="E41:G41"/>
    <mergeCell ref="B42:G42"/>
    <mergeCell ref="B43:G43"/>
    <mergeCell ref="B44:G44"/>
    <mergeCell ref="B45:G45"/>
    <mergeCell ref="B46:G46"/>
    <mergeCell ref="AO67:AQ67"/>
    <mergeCell ref="A69:O69"/>
    <mergeCell ref="B50:G50"/>
    <mergeCell ref="I50:O50"/>
    <mergeCell ref="E52:G52"/>
    <mergeCell ref="E56:G56"/>
    <mergeCell ref="B51:G51"/>
    <mergeCell ref="E57:G57"/>
    <mergeCell ref="E58:G58"/>
    <mergeCell ref="B61:G61"/>
    <mergeCell ref="A63:D63"/>
    <mergeCell ref="A67:D67"/>
    <mergeCell ref="AJ70:AL70"/>
    <mergeCell ref="A70:D70"/>
    <mergeCell ref="A71:O71"/>
    <mergeCell ref="A78:N78"/>
    <mergeCell ref="F90:N90"/>
    <mergeCell ref="G84:O84"/>
    <mergeCell ref="F86:N86"/>
    <mergeCell ref="A88:E88"/>
    <mergeCell ref="F88:N88"/>
    <mergeCell ref="B81:D81"/>
    <mergeCell ref="G83:O83"/>
  </mergeCells>
  <printOptions/>
  <pageMargins left="0.75" right="0.75" top="1" bottom="1" header="0.5" footer="0.5"/>
  <pageSetup horizontalDpi="1200" verticalDpi="1200" orientation="portrait" paperSize="9" scale="98" r:id="rId3"/>
  <rowBreaks count="1" manualBreakCount="1">
    <brk id="95" max="73" man="1"/>
  </rowBreaks>
  <colBreaks count="1" manualBreakCount="1">
    <brk id="34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7"/>
  <sheetViews>
    <sheetView showGridLines="0" view="pageBreakPreview" zoomScaleSheetLayoutView="100" zoomScalePageLayoutView="0" workbookViewId="0" topLeftCell="A15">
      <selection activeCell="B33" sqref="B33:J33"/>
    </sheetView>
  </sheetViews>
  <sheetFormatPr defaultColWidth="9.140625" defaultRowHeight="12.75"/>
  <cols>
    <col min="1" max="1" width="4.7109375" style="250" customWidth="1"/>
    <col min="2" max="2" width="10.00390625" style="250" customWidth="1"/>
    <col min="3" max="3" width="18.00390625" style="250" customWidth="1"/>
    <col min="4" max="4" width="15.8515625" style="250" customWidth="1"/>
    <col min="5" max="5" width="2.8515625" style="250" customWidth="1"/>
    <col min="6" max="9" width="0" style="250" hidden="1" customWidth="1"/>
    <col min="10" max="10" width="19.57421875" style="250" customWidth="1"/>
    <col min="11" max="11" width="3.00390625" style="250" customWidth="1"/>
    <col min="12" max="12" width="3.57421875" style="250" customWidth="1"/>
    <col min="13" max="13" width="10.421875" style="250" customWidth="1"/>
    <col min="14" max="18" width="0" style="240" hidden="1" customWidth="1"/>
    <col min="19" max="20" width="0" style="250" hidden="1" customWidth="1"/>
    <col min="21" max="21" width="4.8515625" style="250" customWidth="1"/>
    <col min="22" max="22" width="1.8515625" style="250" customWidth="1"/>
    <col min="23" max="23" width="10.7109375" style="250" customWidth="1"/>
    <col min="24" max="27" width="14.7109375" style="250" customWidth="1"/>
    <col min="28" max="30" width="16.7109375" style="250" customWidth="1"/>
    <col min="31" max="31" width="16.00390625" style="250" customWidth="1"/>
    <col min="32" max="32" width="10.00390625" style="250" bestFit="1" customWidth="1"/>
    <col min="33" max="16384" width="9.140625" style="250" customWidth="1"/>
  </cols>
  <sheetData>
    <row r="1" spans="1:13" ht="16.5">
      <c r="A1" s="1266" t="s">
        <v>368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</row>
    <row r="2" spans="1:13" ht="19.5" hidden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ht="15" hidden="1"/>
    <row r="4" ht="2.25" customHeight="1"/>
    <row r="5" spans="1:13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</row>
    <row r="6" spans="1:18" ht="14.2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250"/>
      <c r="O6" s="250"/>
      <c r="P6" s="250"/>
      <c r="Q6" s="250"/>
      <c r="R6" s="250"/>
    </row>
    <row r="7" spans="1:18" ht="14.2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250"/>
      <c r="O7" s="250"/>
      <c r="P7" s="250"/>
      <c r="Q7" s="250"/>
      <c r="R7" s="250"/>
    </row>
    <row r="8" spans="1:13" ht="21.75" customHeight="1">
      <c r="A8" s="1424" t="s">
        <v>634</v>
      </c>
      <c r="B8" s="1425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6"/>
    </row>
    <row r="9" spans="1:13" ht="18.75" customHeight="1">
      <c r="A9" s="1421" t="s">
        <v>635</v>
      </c>
      <c r="B9" s="1422"/>
      <c r="C9" s="1422"/>
      <c r="D9" s="1422"/>
      <c r="E9" s="1422"/>
      <c r="F9" s="1422"/>
      <c r="G9" s="1422"/>
      <c r="H9" s="1422"/>
      <c r="I9" s="1422"/>
      <c r="J9" s="1422"/>
      <c r="K9" s="1422"/>
      <c r="L9" s="1422"/>
      <c r="M9" s="1423"/>
    </row>
    <row r="10" spans="1:18" s="826" customFormat="1" ht="3.75" customHeight="1">
      <c r="A10" s="900"/>
      <c r="B10" s="901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2"/>
      <c r="N10" s="817"/>
      <c r="O10" s="817"/>
      <c r="P10" s="817"/>
      <c r="Q10" s="817"/>
      <c r="R10" s="817"/>
    </row>
    <row r="11" spans="1:24" ht="14.25">
      <c r="A11" s="1281" t="s">
        <v>361</v>
      </c>
      <c r="B11" s="1281"/>
      <c r="C11" s="1281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W11" s="250">
        <v>100</v>
      </c>
      <c r="X11" s="250" t="s">
        <v>653</v>
      </c>
    </row>
    <row r="12" spans="1:24" ht="14.25">
      <c r="A12" s="1270" t="s">
        <v>391</v>
      </c>
      <c r="B12" s="1270"/>
      <c r="C12" s="1270"/>
      <c r="D12" s="471"/>
      <c r="E12" s="471"/>
      <c r="F12" s="471"/>
      <c r="G12" s="471"/>
      <c r="H12" s="471"/>
      <c r="I12" s="471"/>
      <c r="J12" s="471"/>
      <c r="K12" s="471"/>
      <c r="L12" s="471"/>
      <c r="M12" s="472"/>
      <c r="W12" s="250">
        <v>85</v>
      </c>
      <c r="X12" s="250" t="s">
        <v>655</v>
      </c>
    </row>
    <row r="13" spans="1:24" ht="15.75">
      <c r="A13" s="1283">
        <f>'1. oldal'!K69</f>
        <v>0</v>
      </c>
      <c r="B13" s="1284"/>
      <c r="C13" s="1284"/>
      <c r="D13" s="1284"/>
      <c r="E13" s="1284"/>
      <c r="F13" s="1284"/>
      <c r="G13" s="1284"/>
      <c r="H13" s="1284"/>
      <c r="I13" s="1284"/>
      <c r="J13" s="1284"/>
      <c r="K13" s="1284"/>
      <c r="L13" s="1284"/>
      <c r="M13" s="1284"/>
      <c r="W13" s="250">
        <v>75</v>
      </c>
      <c r="X13" s="250" t="s">
        <v>654</v>
      </c>
    </row>
    <row r="14" spans="1:24" ht="15.75">
      <c r="A14" s="1270" t="s">
        <v>202</v>
      </c>
      <c r="B14" s="1270"/>
      <c r="C14" s="1323">
        <f>IF('1. oldal'!T74="","",'1. oldal'!T74)</f>
        <v>0</v>
      </c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W14" s="250">
        <v>70</v>
      </c>
      <c r="X14" s="250" t="s">
        <v>656</v>
      </c>
    </row>
    <row r="15" spans="1:13" ht="14.25">
      <c r="A15" s="1274" t="s">
        <v>428</v>
      </c>
      <c r="B15" s="1274"/>
      <c r="C15" s="1274"/>
      <c r="D15" s="1274"/>
      <c r="E15" s="1275">
        <f>IF('1. oldal'!K74="","",'1. oldal'!K74)</f>
      </c>
      <c r="F15" s="1275"/>
      <c r="G15" s="1275"/>
      <c r="H15" s="1275"/>
      <c r="I15" s="1275"/>
      <c r="J15" s="1275"/>
      <c r="K15" s="1275"/>
      <c r="L15" s="1275"/>
      <c r="M15" s="1275"/>
    </row>
    <row r="16" spans="1:13" ht="3.75" customHeight="1">
      <c r="A16" s="240"/>
      <c r="B16" s="240"/>
      <c r="C16" s="240"/>
      <c r="D16" s="240"/>
      <c r="E16" s="240"/>
      <c r="F16" s="240"/>
      <c r="G16" s="240"/>
      <c r="H16" s="240"/>
      <c r="J16" s="240"/>
      <c r="K16" s="240"/>
      <c r="L16" s="240"/>
      <c r="M16" s="240"/>
    </row>
    <row r="17" spans="1:28" ht="18.75" customHeight="1">
      <c r="A17" s="1411" t="s">
        <v>635</v>
      </c>
      <c r="B17" s="1412"/>
      <c r="C17" s="1412"/>
      <c r="D17" s="1412"/>
      <c r="E17" s="1412"/>
      <c r="F17" s="1412"/>
      <c r="G17" s="1412"/>
      <c r="H17" s="1412"/>
      <c r="I17" s="1412"/>
      <c r="J17" s="1412"/>
      <c r="K17" s="1412"/>
      <c r="L17" s="1412"/>
      <c r="M17" s="1413"/>
      <c r="AB17" s="250" t="e">
        <f>ROUND((AE25/Z25),88)</f>
        <v>#DIV/0!</v>
      </c>
    </row>
    <row r="18" spans="1:18" s="826" customFormat="1" ht="5.25" customHeight="1" thickBot="1">
      <c r="A18" s="1414"/>
      <c r="B18" s="1414"/>
      <c r="C18" s="1414"/>
      <c r="D18" s="1414"/>
      <c r="E18" s="1414"/>
      <c r="F18" s="1415"/>
      <c r="G18" s="1415"/>
      <c r="H18" s="1415"/>
      <c r="I18" s="1415"/>
      <c r="J18" s="1415"/>
      <c r="K18" s="1419"/>
      <c r="L18" s="1420"/>
      <c r="M18" s="1420"/>
      <c r="N18" s="817"/>
      <c r="O18" s="817"/>
      <c r="P18" s="817"/>
      <c r="Q18" s="817"/>
      <c r="R18" s="817"/>
    </row>
    <row r="19" spans="1:31" ht="25.5" customHeight="1" thickBot="1">
      <c r="A19" s="910">
        <f>IF(('A.LAP'!J17+B_LAP!J17+C_LAP!J17+D_LAP!J17)&gt;500000000,"X","")</f>
      </c>
      <c r="B19" s="1416" t="s">
        <v>636</v>
      </c>
      <c r="C19" s="1417"/>
      <c r="D19" s="1417"/>
      <c r="E19" s="1417"/>
      <c r="F19" s="1417"/>
      <c r="G19" s="1417"/>
      <c r="H19" s="1417"/>
      <c r="I19" s="1417"/>
      <c r="J19" s="1417"/>
      <c r="K19" s="1417"/>
      <c r="L19" s="1417"/>
      <c r="M19" s="1418"/>
      <c r="X19" s="1070">
        <f>'2. oldal'!H17</f>
        <v>0</v>
      </c>
      <c r="Y19" s="909">
        <f>X19</f>
        <v>0</v>
      </c>
      <c r="Z19" s="909">
        <f>Y19</f>
        <v>0</v>
      </c>
      <c r="AA19" s="1070">
        <f>X19</f>
        <v>0</v>
      </c>
      <c r="AB19" s="1070"/>
      <c r="AC19" s="1070"/>
      <c r="AD19" s="1070"/>
      <c r="AE19" s="1071" t="e">
        <f>ROUND((AA25/Z25),6)</f>
        <v>#DIV/0!</v>
      </c>
    </row>
    <row r="20" spans="1:31" s="826" customFormat="1" ht="3.75" customHeight="1">
      <c r="A20" s="903"/>
      <c r="B20" s="904"/>
      <c r="C20" s="904"/>
      <c r="D20" s="904"/>
      <c r="E20" s="904"/>
      <c r="F20" s="904"/>
      <c r="G20" s="904"/>
      <c r="H20" s="904"/>
      <c r="I20" s="904"/>
      <c r="J20" s="904"/>
      <c r="K20" s="904"/>
      <c r="L20" s="904"/>
      <c r="M20" s="905"/>
      <c r="N20" s="817"/>
      <c r="O20" s="817"/>
      <c r="P20" s="817"/>
      <c r="Q20" s="817"/>
      <c r="R20" s="817"/>
      <c r="X20" s="1072"/>
      <c r="Y20" s="1072"/>
      <c r="Z20" s="1072"/>
      <c r="AA20" s="1072"/>
      <c r="AB20" s="1072"/>
      <c r="AC20" s="1072"/>
      <c r="AD20" s="1072"/>
      <c r="AE20" s="1072"/>
    </row>
    <row r="21" spans="1:31" ht="27.75" customHeight="1">
      <c r="A21" s="480" t="s">
        <v>241</v>
      </c>
      <c r="B21" s="1396" t="s">
        <v>637</v>
      </c>
      <c r="C21" s="1396"/>
      <c r="D21" s="1396"/>
      <c r="E21" s="1396"/>
      <c r="F21" s="1397"/>
      <c r="G21" s="1397"/>
      <c r="H21" s="1397"/>
      <c r="I21" s="1397"/>
      <c r="J21" s="1398"/>
      <c r="K21" s="1402"/>
      <c r="L21" s="1403"/>
      <c r="M21" s="1404"/>
      <c r="N21" s="479">
        <f>IF(J21=ROUND((J21),0),"","Csak egész számot írtat be")</f>
      </c>
      <c r="Q21" s="240">
        <f>IF(N21="",0,1)</f>
        <v>0</v>
      </c>
      <c r="W21" s="250">
        <v>100</v>
      </c>
      <c r="X21" s="909">
        <v>500000000</v>
      </c>
      <c r="Y21" s="909">
        <f>Y19</f>
        <v>0</v>
      </c>
      <c r="Z21" s="909">
        <f>IF(Y21&gt;500000000,500000000,Y21)</f>
        <v>0</v>
      </c>
      <c r="AA21" s="909">
        <f>ROUND((Z21*W21/100),0)</f>
        <v>0</v>
      </c>
      <c r="AB21" s="909" t="e">
        <f>ROUND((Z21*$AB$17),0)</f>
        <v>#DIV/0!</v>
      </c>
      <c r="AC21" s="1073" t="e">
        <f>ROUND((AB21/Z21),6)</f>
        <v>#DIV/0!</v>
      </c>
      <c r="AD21" s="1074" t="e">
        <f>MIN(AB21,AA21)</f>
        <v>#DIV/0!</v>
      </c>
      <c r="AE21" s="1074">
        <f>IF(AE25&gt;AA25,AA25,AE25)</f>
        <v>0</v>
      </c>
    </row>
    <row r="22" spans="1:31" ht="27.75" customHeight="1">
      <c r="A22" s="480" t="s">
        <v>243</v>
      </c>
      <c r="B22" s="1396" t="s">
        <v>638</v>
      </c>
      <c r="C22" s="1396"/>
      <c r="D22" s="1396"/>
      <c r="E22" s="1396"/>
      <c r="F22" s="1397"/>
      <c r="G22" s="1397"/>
      <c r="H22" s="1397"/>
      <c r="I22" s="1397"/>
      <c r="J22" s="1398"/>
      <c r="K22" s="1402"/>
      <c r="L22" s="1403"/>
      <c r="M22" s="1404"/>
      <c r="N22" s="479">
        <f>IF(J22=ROUND((J22),0),"","Csak egész számot írtat be")</f>
      </c>
      <c r="O22" s="536"/>
      <c r="P22" s="531"/>
      <c r="Q22" s="240">
        <f>IF(N22="",0,1)</f>
        <v>0</v>
      </c>
      <c r="W22" s="250">
        <v>85</v>
      </c>
      <c r="X22" s="909">
        <f>X21*40</f>
        <v>20000000000</v>
      </c>
      <c r="Y22" s="909">
        <f>Y19-X21</f>
        <v>-500000000</v>
      </c>
      <c r="Z22" s="909">
        <f>IF(Y22&lt;0,0,(IF(Y22&gt;19500000000,19500000000,Y22)))</f>
        <v>0</v>
      </c>
      <c r="AA22" s="909">
        <f>ROUND((Z22*W22/100),0)</f>
        <v>0</v>
      </c>
      <c r="AB22" s="909" t="e">
        <f>ROUND((Z22*$AB$17),0)</f>
        <v>#DIV/0!</v>
      </c>
      <c r="AC22" s="1073" t="e">
        <f>ROUND((AB22/Z22),6)</f>
        <v>#DIV/0!</v>
      </c>
      <c r="AD22" s="1074" t="e">
        <f>MIN(AB22,AA22)</f>
        <v>#DIV/0!</v>
      </c>
      <c r="AE22" s="1071"/>
    </row>
    <row r="23" spans="1:31" ht="30" customHeight="1">
      <c r="A23" s="480" t="s">
        <v>245</v>
      </c>
      <c r="B23" s="1396" t="s">
        <v>642</v>
      </c>
      <c r="C23" s="1396"/>
      <c r="D23" s="1396"/>
      <c r="E23" s="1396"/>
      <c r="F23" s="1397"/>
      <c r="G23" s="1397"/>
      <c r="H23" s="1397"/>
      <c r="I23" s="1397"/>
      <c r="J23" s="1398"/>
      <c r="K23" s="1405">
        <f>AD27</f>
        <v>0</v>
      </c>
      <c r="L23" s="1406"/>
      <c r="M23" s="1407"/>
      <c r="N23" s="479">
        <f>IF(J23=ROUND((J23),0),"","Csak egész számot írtat be")</f>
      </c>
      <c r="O23" s="264"/>
      <c r="Q23" s="240">
        <f>IF(N23="",0,1)</f>
        <v>0</v>
      </c>
      <c r="W23" s="250">
        <v>75</v>
      </c>
      <c r="X23" s="909">
        <f>X22*4</f>
        <v>80000000000</v>
      </c>
      <c r="Y23" s="909">
        <f>Y19-X22</f>
        <v>-20000000000</v>
      </c>
      <c r="Z23" s="909">
        <f>IF(Y23&lt;0,0,(IF(Y23&gt;60000000000,60000000000,Y23)))</f>
        <v>0</v>
      </c>
      <c r="AA23" s="909">
        <f>ROUND((Z23*W23/100),0)</f>
        <v>0</v>
      </c>
      <c r="AB23" s="909" t="e">
        <f>ROUND((Z23*$AB$17),0)</f>
        <v>#DIV/0!</v>
      </c>
      <c r="AC23" s="1073" t="e">
        <f>ROUND((AB23/Z23),6)</f>
        <v>#DIV/0!</v>
      </c>
      <c r="AD23" s="1074" t="e">
        <f>MIN(AB23,AA23)</f>
        <v>#DIV/0!</v>
      </c>
      <c r="AE23" s="1071"/>
    </row>
    <row r="24" spans="1:31" ht="18" customHeight="1" thickBot="1">
      <c r="A24" s="480" t="s">
        <v>247</v>
      </c>
      <c r="B24" s="1396" t="s">
        <v>630</v>
      </c>
      <c r="C24" s="1396"/>
      <c r="D24" s="1396"/>
      <c r="E24" s="1396"/>
      <c r="F24" s="1397"/>
      <c r="G24" s="1397"/>
      <c r="H24" s="1397"/>
      <c r="I24" s="1397"/>
      <c r="J24" s="1398"/>
      <c r="K24" s="1399">
        <f>K21+K22+K23</f>
        <v>0</v>
      </c>
      <c r="L24" s="1400"/>
      <c r="M24" s="1401"/>
      <c r="N24" s="479">
        <f>IF(J24=ROUND((J24),0),"","Csak egész számot írtat be")</f>
      </c>
      <c r="Q24" s="240">
        <f>IF(N24="",0,1)</f>
        <v>0</v>
      </c>
      <c r="W24" s="250">
        <v>70</v>
      </c>
      <c r="X24" s="1071"/>
      <c r="Y24" s="909">
        <f>Y19-X23</f>
        <v>-80000000000</v>
      </c>
      <c r="Z24" s="909">
        <f>IF(Y24&lt;0,0,Y24)</f>
        <v>0</v>
      </c>
      <c r="AA24" s="909">
        <f>ROUND((Z24*W24/100),0)</f>
        <v>0</v>
      </c>
      <c r="AB24" s="909" t="e">
        <f>ROUND((Z24*$AB$17),0)</f>
        <v>#DIV/0!</v>
      </c>
      <c r="AC24" s="1073" t="e">
        <f>ROUND((AB24/Z24),6)</f>
        <v>#DIV/0!</v>
      </c>
      <c r="AD24" s="1074" t="e">
        <f>MIN(AB24,AA24)</f>
        <v>#DIV/0!</v>
      </c>
      <c r="AE24" s="1071"/>
    </row>
    <row r="25" spans="1:31" ht="25.5" customHeight="1" thickBot="1">
      <c r="A25" s="480" t="s">
        <v>248</v>
      </c>
      <c r="B25" s="1396" t="s">
        <v>629</v>
      </c>
      <c r="C25" s="1396"/>
      <c r="D25" s="1396"/>
      <c r="E25" s="1396"/>
      <c r="F25" s="1397"/>
      <c r="G25" s="1397"/>
      <c r="H25" s="1397"/>
      <c r="I25" s="1397"/>
      <c r="J25" s="1398"/>
      <c r="K25" s="1399">
        <f>'2. oldal'!H17-'2. oldal'!H20-'2. oldal'!H21-'2. oldal'!H22-E_LAP!K24</f>
        <v>0</v>
      </c>
      <c r="L25" s="1400"/>
      <c r="M25" s="1401"/>
      <c r="N25" s="479">
        <f>IF(J25=ROUND((J25),0),"","Csak egész számot írtat be")</f>
      </c>
      <c r="Q25" s="240">
        <f>IF(N25="",0,1)</f>
        <v>0</v>
      </c>
      <c r="X25" s="1071"/>
      <c r="Y25" s="1071"/>
      <c r="Z25" s="909">
        <f>SUM(Z21:Z24)</f>
        <v>0</v>
      </c>
      <c r="AA25" s="909">
        <f>SUM(AA21:AA24)</f>
        <v>0</v>
      </c>
      <c r="AB25" s="909" t="e">
        <f>SUM(AB21:AB24)</f>
        <v>#DIV/0!</v>
      </c>
      <c r="AC25" s="909"/>
      <c r="AD25" s="1080" t="e">
        <f>SUM(AD21:AD24)</f>
        <v>#DIV/0!</v>
      </c>
      <c r="AE25" s="909">
        <f>'2. oldal'!H18+'2. oldal'!H19</f>
        <v>0</v>
      </c>
    </row>
    <row r="26" spans="1:31" s="817" customFormat="1" ht="6" customHeight="1" thickBot="1">
      <c r="A26" s="815"/>
      <c r="B26" s="847"/>
      <c r="C26" s="847"/>
      <c r="D26" s="847"/>
      <c r="E26" s="847"/>
      <c r="J26" s="906"/>
      <c r="K26" s="906"/>
      <c r="L26" s="906"/>
      <c r="M26" s="906"/>
      <c r="N26" s="820"/>
      <c r="X26" s="1075"/>
      <c r="Y26" s="1075"/>
      <c r="Z26" s="1075"/>
      <c r="AA26" s="1075"/>
      <c r="AB26" s="1075"/>
      <c r="AC26" s="1075"/>
      <c r="AD26" s="1075"/>
      <c r="AE26" s="1075"/>
    </row>
    <row r="27" spans="1:31" ht="18.75" customHeight="1" thickBot="1">
      <c r="A27" s="1066"/>
      <c r="B27" s="1408" t="s">
        <v>643</v>
      </c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10"/>
      <c r="X27" s="1071"/>
      <c r="Y27" s="1071"/>
      <c r="Z27" s="1071"/>
      <c r="AA27" s="1076" t="s">
        <v>473</v>
      </c>
      <c r="AB27" s="1076"/>
      <c r="AC27" s="1076"/>
      <c r="AD27" s="1076">
        <f>IF(X19=0,0,AD25)</f>
        <v>0</v>
      </c>
      <c r="AE27" s="1076" t="s">
        <v>472</v>
      </c>
    </row>
    <row r="28" spans="1:31" s="826" customFormat="1" ht="8.25" customHeight="1">
      <c r="A28" s="903"/>
      <c r="B28" s="904"/>
      <c r="C28" s="904"/>
      <c r="D28" s="904"/>
      <c r="E28" s="904"/>
      <c r="F28" s="904"/>
      <c r="G28" s="904"/>
      <c r="H28" s="904"/>
      <c r="I28" s="904"/>
      <c r="J28" s="904"/>
      <c r="K28" s="904"/>
      <c r="L28" s="904"/>
      <c r="M28" s="905"/>
      <c r="N28" s="817"/>
      <c r="O28" s="817"/>
      <c r="P28" s="817"/>
      <c r="Q28" s="817"/>
      <c r="R28" s="817"/>
      <c r="X28" s="1072"/>
      <c r="Y28" s="1072"/>
      <c r="Z28" s="1072"/>
      <c r="AA28" s="1072"/>
      <c r="AB28" s="1072"/>
      <c r="AC28" s="1072"/>
      <c r="AD28" s="1072"/>
      <c r="AE28" s="1072"/>
    </row>
    <row r="29" spans="1:31" ht="15.75" customHeight="1">
      <c r="A29" s="480" t="s">
        <v>241</v>
      </c>
      <c r="B29" s="1396" t="s">
        <v>644</v>
      </c>
      <c r="C29" s="1396"/>
      <c r="D29" s="1396"/>
      <c r="E29" s="1396"/>
      <c r="F29" s="1397"/>
      <c r="G29" s="1397"/>
      <c r="H29" s="1397"/>
      <c r="I29" s="1397"/>
      <c r="J29" s="1398"/>
      <c r="K29" s="1402"/>
      <c r="L29" s="1403"/>
      <c r="M29" s="1404"/>
      <c r="N29" s="479">
        <f>IF(J29=ROUND((J29),0),"","Csak egész számot írtat be")</f>
      </c>
      <c r="Q29" s="240">
        <f>IF(N29="",0,1)</f>
        <v>0</v>
      </c>
      <c r="X29" s="1070">
        <f>K29</f>
        <v>0</v>
      </c>
      <c r="Y29" s="909">
        <f>X29</f>
        <v>0</v>
      </c>
      <c r="Z29" s="909">
        <f>Y29</f>
        <v>0</v>
      </c>
      <c r="AA29" s="1070">
        <f>X29</f>
        <v>0</v>
      </c>
      <c r="AB29" s="1071" t="e">
        <f>AE31/Z35</f>
        <v>#DIV/0!</v>
      </c>
      <c r="AC29" s="1070"/>
      <c r="AD29" s="1070"/>
      <c r="AE29" s="1070">
        <f>MAX(K25,K38)</f>
        <v>0</v>
      </c>
    </row>
    <row r="30" spans="1:31" ht="36" customHeight="1">
      <c r="A30" s="480" t="s">
        <v>243</v>
      </c>
      <c r="B30" s="1396" t="s">
        <v>645</v>
      </c>
      <c r="C30" s="1396"/>
      <c r="D30" s="1396"/>
      <c r="E30" s="1396"/>
      <c r="F30" s="1397"/>
      <c r="G30" s="1397"/>
      <c r="H30" s="1397"/>
      <c r="I30" s="1397"/>
      <c r="J30" s="1398"/>
      <c r="K30" s="1402"/>
      <c r="L30" s="1403"/>
      <c r="M30" s="1404"/>
      <c r="N30" s="479"/>
      <c r="W30" s="826"/>
      <c r="X30" s="1072"/>
      <c r="Y30" s="1072"/>
      <c r="Z30" s="1072"/>
      <c r="AA30" s="1072"/>
      <c r="AB30" s="1072"/>
      <c r="AC30" s="1072"/>
      <c r="AD30" s="1072"/>
      <c r="AE30" s="1071"/>
    </row>
    <row r="31" spans="1:31" ht="15.75" customHeight="1">
      <c r="A31" s="480" t="s">
        <v>245</v>
      </c>
      <c r="B31" s="1396" t="s">
        <v>646</v>
      </c>
      <c r="C31" s="1396"/>
      <c r="D31" s="1396"/>
      <c r="E31" s="1396"/>
      <c r="F31" s="1397"/>
      <c r="G31" s="1397"/>
      <c r="H31" s="1397"/>
      <c r="I31" s="1397"/>
      <c r="J31" s="1398"/>
      <c r="K31" s="1402"/>
      <c r="L31" s="1403"/>
      <c r="M31" s="1404"/>
      <c r="N31" s="479"/>
      <c r="W31" s="250">
        <v>100</v>
      </c>
      <c r="X31" s="909">
        <v>500000000</v>
      </c>
      <c r="Y31" s="909">
        <f>Y29</f>
        <v>0</v>
      </c>
      <c r="Z31" s="909">
        <f>IF(Y31&gt;500000000,500000000,Y31)</f>
        <v>0</v>
      </c>
      <c r="AA31" s="909">
        <f>ROUND((Z31*W31/100),0)</f>
        <v>0</v>
      </c>
      <c r="AB31" s="909" t="e">
        <f>ROUND((Z31*$AB$29),0)</f>
        <v>#DIV/0!</v>
      </c>
      <c r="AC31" s="1073" t="e">
        <f>ROUND((AB31/Z31),6)</f>
        <v>#DIV/0!</v>
      </c>
      <c r="AD31" s="909" t="e">
        <f>MIN(AB31,AA31)</f>
        <v>#DIV/0!</v>
      </c>
      <c r="AE31" s="1074">
        <f>K31+K32</f>
        <v>0</v>
      </c>
    </row>
    <row r="32" spans="1:31" ht="15.75" customHeight="1">
      <c r="A32" s="480" t="s">
        <v>247</v>
      </c>
      <c r="B32" s="1396" t="s">
        <v>647</v>
      </c>
      <c r="C32" s="1396"/>
      <c r="D32" s="1396"/>
      <c r="E32" s="1396"/>
      <c r="F32" s="1397"/>
      <c r="G32" s="1397"/>
      <c r="H32" s="1397"/>
      <c r="I32" s="1397"/>
      <c r="J32" s="1398"/>
      <c r="K32" s="1402"/>
      <c r="L32" s="1403"/>
      <c r="M32" s="1404"/>
      <c r="N32" s="479"/>
      <c r="W32" s="250">
        <v>85</v>
      </c>
      <c r="X32" s="909">
        <f>X31*40</f>
        <v>20000000000</v>
      </c>
      <c r="Y32" s="909">
        <f>Y29-X31</f>
        <v>-500000000</v>
      </c>
      <c r="Z32" s="909">
        <f>IF(Y32&lt;0,0,(IF(Y32&gt;19500000000,19500000000,Y32)))</f>
        <v>0</v>
      </c>
      <c r="AA32" s="909">
        <f>ROUND((Z32*W32/100),0)</f>
        <v>0</v>
      </c>
      <c r="AB32" s="909" t="e">
        <f>ROUND((Z32*$AB$29),0)</f>
        <v>#DIV/0!</v>
      </c>
      <c r="AC32" s="1073" t="e">
        <f>ROUND((AB32/Z32),6)</f>
        <v>#DIV/0!</v>
      </c>
      <c r="AD32" s="909" t="e">
        <f>MIN(AB32,AA32)</f>
        <v>#DIV/0!</v>
      </c>
      <c r="AE32" s="1071"/>
    </row>
    <row r="33" spans="1:31" ht="24" customHeight="1">
      <c r="A33" s="480" t="s">
        <v>248</v>
      </c>
      <c r="B33" s="1396" t="s">
        <v>648</v>
      </c>
      <c r="C33" s="1396"/>
      <c r="D33" s="1396"/>
      <c r="E33" s="1396"/>
      <c r="F33" s="1397"/>
      <c r="G33" s="1397"/>
      <c r="H33" s="1397"/>
      <c r="I33" s="1397"/>
      <c r="J33" s="1398"/>
      <c r="K33" s="1402"/>
      <c r="L33" s="1403"/>
      <c r="M33" s="1404"/>
      <c r="N33" s="479"/>
      <c r="W33" s="250">
        <v>75</v>
      </c>
      <c r="X33" s="909">
        <f>X32*4</f>
        <v>80000000000</v>
      </c>
      <c r="Y33" s="909">
        <f>Y29-X32</f>
        <v>-20000000000</v>
      </c>
      <c r="Z33" s="909">
        <f>IF(Y33&lt;0,0,(IF(Y33&gt;60000000000,60000000000,Y33)))</f>
        <v>0</v>
      </c>
      <c r="AA33" s="909">
        <f>ROUND((Z33*W33/100),0)</f>
        <v>0</v>
      </c>
      <c r="AB33" s="909" t="e">
        <f>ROUND((Z33*$AB$29),0)</f>
        <v>#DIV/0!</v>
      </c>
      <c r="AC33" s="1073" t="e">
        <f>ROUND((AB33/Z33),6)</f>
        <v>#DIV/0!</v>
      </c>
      <c r="AD33" s="909" t="e">
        <f>MIN(AB33,AA33)</f>
        <v>#DIV/0!</v>
      </c>
      <c r="AE33" s="1071"/>
    </row>
    <row r="34" spans="1:31" ht="25.5" customHeight="1">
      <c r="A34" s="480" t="s">
        <v>254</v>
      </c>
      <c r="B34" s="1396" t="s">
        <v>649</v>
      </c>
      <c r="C34" s="1396"/>
      <c r="D34" s="1396"/>
      <c r="E34" s="1396"/>
      <c r="F34" s="1397"/>
      <c r="G34" s="1397"/>
      <c r="H34" s="1397"/>
      <c r="I34" s="1397"/>
      <c r="J34" s="1398"/>
      <c r="K34" s="1402"/>
      <c r="L34" s="1403"/>
      <c r="M34" s="1404"/>
      <c r="N34" s="479"/>
      <c r="W34" s="250">
        <v>70</v>
      </c>
      <c r="X34" s="1071"/>
      <c r="Y34" s="909">
        <f>Y29-X33</f>
        <v>-80000000000</v>
      </c>
      <c r="Z34" s="909">
        <f>IF(Y34&lt;0,0,Y34)</f>
        <v>0</v>
      </c>
      <c r="AA34" s="909">
        <f>ROUND((Z34*W34/100),0)</f>
        <v>0</v>
      </c>
      <c r="AB34" s="909" t="e">
        <f>ROUND((Z34*$AB$29),0)</f>
        <v>#DIV/0!</v>
      </c>
      <c r="AC34" s="1073" t="e">
        <f>ROUND((AB34/Z34),6)</f>
        <v>#DIV/0!</v>
      </c>
      <c r="AD34" s="909" t="e">
        <f>MIN(AB34,AA34)</f>
        <v>#DIV/0!</v>
      </c>
      <c r="AE34" s="1071"/>
    </row>
    <row r="35" spans="1:31" ht="25.5" customHeight="1">
      <c r="A35" s="480" t="s">
        <v>255</v>
      </c>
      <c r="B35" s="1396" t="s">
        <v>650</v>
      </c>
      <c r="C35" s="1396"/>
      <c r="D35" s="1396"/>
      <c r="E35" s="1396"/>
      <c r="F35" s="1397"/>
      <c r="G35" s="1397"/>
      <c r="H35" s="1397"/>
      <c r="I35" s="1397"/>
      <c r="J35" s="1398"/>
      <c r="K35" s="1405" t="e">
        <f>AD35</f>
        <v>#DIV/0!</v>
      </c>
      <c r="L35" s="1406"/>
      <c r="M35" s="1407"/>
      <c r="N35" s="479"/>
      <c r="X35" s="1071"/>
      <c r="Y35" s="1071"/>
      <c r="Z35" s="909">
        <f>SUM(Z31:Z34)</f>
        <v>0</v>
      </c>
      <c r="AA35" s="1074">
        <f>SUM(AA31:AA34)</f>
        <v>0</v>
      </c>
      <c r="AB35" s="909" t="e">
        <f>SUM(AB31:AB34)</f>
        <v>#DIV/0!</v>
      </c>
      <c r="AC35" s="909"/>
      <c r="AD35" s="1074" t="e">
        <f>SUM(AD31:AD34)</f>
        <v>#DIV/0!</v>
      </c>
      <c r="AE35" s="1071"/>
    </row>
    <row r="36" spans="1:31" ht="24" customHeight="1" thickBot="1">
      <c r="A36" s="480" t="s">
        <v>257</v>
      </c>
      <c r="B36" s="1396" t="s">
        <v>651</v>
      </c>
      <c r="C36" s="1396"/>
      <c r="D36" s="1396"/>
      <c r="E36" s="1396"/>
      <c r="F36" s="1397"/>
      <c r="G36" s="1397"/>
      <c r="H36" s="1397"/>
      <c r="I36" s="1397"/>
      <c r="J36" s="1398"/>
      <c r="K36" s="1399" t="e">
        <f>K33+K34+K35</f>
        <v>#DIV/0!</v>
      </c>
      <c r="L36" s="1400"/>
      <c r="M36" s="1401"/>
      <c r="N36" s="479"/>
      <c r="X36" s="1071"/>
      <c r="Y36" s="1071"/>
      <c r="Z36" s="1071"/>
      <c r="AA36" s="1064" t="e">
        <f>(AA29-AD35-K30)/AA29</f>
        <v>#DIV/0!</v>
      </c>
      <c r="AB36" s="1064"/>
      <c r="AC36" s="1064"/>
      <c r="AD36" s="1064"/>
      <c r="AE36" s="1071"/>
    </row>
    <row r="37" spans="1:31" ht="18" customHeight="1" thickBot="1">
      <c r="A37" s="480" t="s">
        <v>259</v>
      </c>
      <c r="B37" s="1396" t="s">
        <v>652</v>
      </c>
      <c r="C37" s="1396"/>
      <c r="D37" s="1396"/>
      <c r="E37" s="1396"/>
      <c r="F37" s="1397"/>
      <c r="G37" s="1397"/>
      <c r="H37" s="1397"/>
      <c r="I37" s="1397"/>
      <c r="J37" s="1398"/>
      <c r="K37" s="1399" t="e">
        <f>MAX((K29-K30-K36),0)</f>
        <v>#DIV/0!</v>
      </c>
      <c r="L37" s="1400"/>
      <c r="M37" s="1401"/>
      <c r="N37" s="479"/>
      <c r="W37" s="1080">
        <f>IF(A27="",0,K38)</f>
        <v>0</v>
      </c>
      <c r="X37" s="1071"/>
      <c r="Y37" s="1071"/>
      <c r="Z37" s="1071"/>
      <c r="AA37" s="1065" t="e">
        <f>('A.LAP'!J17+B_LAP!J17+C_LAP!J17+D_LAP!J17)*AA36</f>
        <v>#DIV/0!</v>
      </c>
      <c r="AB37" s="1065"/>
      <c r="AC37" s="1065"/>
      <c r="AD37" s="1065"/>
      <c r="AE37" s="1071"/>
    </row>
    <row r="38" spans="1:31" ht="27.75" customHeight="1">
      <c r="A38" s="480" t="s">
        <v>261</v>
      </c>
      <c r="B38" s="1396" t="s">
        <v>631</v>
      </c>
      <c r="C38" s="1396"/>
      <c r="D38" s="1396"/>
      <c r="E38" s="1396"/>
      <c r="F38" s="1397"/>
      <c r="G38" s="1397"/>
      <c r="H38" s="1397"/>
      <c r="I38" s="1397"/>
      <c r="J38" s="1398"/>
      <c r="K38" s="1399">
        <f>W38</f>
        <v>0</v>
      </c>
      <c r="L38" s="1400"/>
      <c r="M38" s="1401"/>
      <c r="N38" s="479"/>
      <c r="W38" s="909">
        <f>IF(K29=0,0,Y38)</f>
        <v>0</v>
      </c>
      <c r="X38" s="1071"/>
      <c r="Y38" s="1069" t="e">
        <f>ROUND((('A.LAP'!J17+B_LAP!J17+C_LAP!J17+D_LAP!J17)*K37/K29),0)</f>
        <v>#DIV/0!</v>
      </c>
      <c r="Z38" s="1077"/>
      <c r="AA38" s="1078"/>
      <c r="AB38" s="1063"/>
      <c r="AC38" s="1063"/>
      <c r="AD38" s="1063"/>
      <c r="AE38" s="1071"/>
    </row>
    <row r="39" spans="1:31" s="826" customFormat="1" ht="0.75" customHeight="1">
      <c r="A39" s="815"/>
      <c r="B39" s="907"/>
      <c r="C39" s="907"/>
      <c r="D39" s="907"/>
      <c r="E39" s="907"/>
      <c r="F39" s="817"/>
      <c r="G39" s="817"/>
      <c r="H39" s="817"/>
      <c r="I39" s="817"/>
      <c r="J39" s="906"/>
      <c r="K39" s="819"/>
      <c r="L39" s="819"/>
      <c r="M39" s="819"/>
      <c r="N39" s="827"/>
      <c r="O39" s="817"/>
      <c r="P39" s="817"/>
      <c r="Q39" s="817"/>
      <c r="R39" s="817"/>
      <c r="X39" s="1072"/>
      <c r="Y39" s="1072"/>
      <c r="Z39" s="1072"/>
      <c r="AA39" s="1072"/>
      <c r="AB39" s="1072"/>
      <c r="AC39" s="1072"/>
      <c r="AD39" s="1072"/>
      <c r="AE39" s="1072"/>
    </row>
    <row r="40" spans="2:31" ht="12.75" customHeight="1">
      <c r="B40" s="484" t="str">
        <f>D_LAP!B23</f>
        <v>Készítette:</v>
      </c>
      <c r="C40" s="537" t="str">
        <f>D_LAP!C23</f>
        <v>www.iparuzes.hu                   .</v>
      </c>
      <c r="Q40" s="240">
        <f>SUM(Q19:Q38)</f>
        <v>0</v>
      </c>
      <c r="X40" s="1071"/>
      <c r="Y40" s="1074">
        <f>IF(K29=0,K25,Y38)</f>
        <v>0</v>
      </c>
      <c r="Z40" s="1071" t="e">
        <f>IF(K37=0,K25,Y40)</f>
        <v>#DIV/0!</v>
      </c>
      <c r="AA40" s="1070" t="e">
        <f>MAX(AD25,Z40)</f>
        <v>#DIV/0!</v>
      </c>
      <c r="AB40" s="1070"/>
      <c r="AC40" s="1070"/>
      <c r="AD40" s="1070"/>
      <c r="AE40" s="1071"/>
    </row>
    <row r="41" spans="1:31" ht="22.5" customHeight="1">
      <c r="A41" s="1276" t="str">
        <f>'2. oldal'!B81</f>
        <v>Szabadszállás</v>
      </c>
      <c r="B41" s="1276"/>
      <c r="C41" s="1276"/>
      <c r="D41" s="427">
        <f>'2. oldal'!E81</f>
        <v>2013</v>
      </c>
      <c r="E41" s="486" t="s">
        <v>134</v>
      </c>
      <c r="F41" s="486"/>
      <c r="G41" s="486"/>
      <c r="H41" s="486"/>
      <c r="I41" s="486"/>
      <c r="J41" s="427">
        <f>'2. oldal'!H81</f>
        <v>0</v>
      </c>
      <c r="K41" s="486" t="s">
        <v>135</v>
      </c>
      <c r="L41" s="427">
        <f>'2. oldal'!N81</f>
        <v>0</v>
      </c>
      <c r="M41" s="250" t="s">
        <v>210</v>
      </c>
      <c r="X41" s="1071"/>
      <c r="Y41" s="1071"/>
      <c r="Z41" s="1071"/>
      <c r="AA41" s="1070">
        <f>IF(A19="",AA42,AA40)</f>
        <v>0</v>
      </c>
      <c r="AB41" s="1070"/>
      <c r="AC41" s="1070"/>
      <c r="AD41" s="1070"/>
      <c r="AE41" s="1071"/>
    </row>
    <row r="42" spans="24:31" ht="13.5" customHeight="1">
      <c r="X42" s="1071"/>
      <c r="Y42" s="1071"/>
      <c r="Z42" s="1071"/>
      <c r="AA42" s="1079">
        <f>'2. oldal'!H23</f>
        <v>0</v>
      </c>
      <c r="AB42" s="1079"/>
      <c r="AC42" s="1079"/>
      <c r="AD42" s="1079"/>
      <c r="AE42" s="1071"/>
    </row>
    <row r="43" spans="10:13" ht="15">
      <c r="J43" s="487"/>
      <c r="K43" s="487"/>
      <c r="L43" s="487"/>
      <c r="M43" s="487"/>
    </row>
    <row r="44" spans="10:13" ht="15">
      <c r="J44" s="1277" t="s">
        <v>388</v>
      </c>
      <c r="K44" s="1277"/>
      <c r="L44" s="1277"/>
      <c r="M44" s="1277"/>
    </row>
    <row r="45" ht="15" hidden="1"/>
    <row r="46" ht="0.75" customHeight="1"/>
    <row r="47" ht="15" hidden="1"/>
    <row r="48" ht="15" hidden="1"/>
    <row r="49" ht="15" hidden="1"/>
    <row r="50" ht="15" hidden="1"/>
    <row r="51" ht="15" hidden="1"/>
    <row r="52" spans="1:2" ht="15" hidden="1">
      <c r="A52" s="298">
        <f>IF(B52="",0,1)</f>
        <v>0</v>
      </c>
      <c r="B52" s="235">
        <f>IF(Q40=0,"","A lapon negatív és/vagy tört szám van!")</f>
      </c>
    </row>
    <row r="53" spans="1:2" ht="15" hidden="1">
      <c r="A53" s="298"/>
      <c r="B53" s="235"/>
    </row>
    <row r="54" spans="1:2" ht="4.5" customHeight="1">
      <c r="A54" s="298"/>
      <c r="B54" s="235"/>
    </row>
    <row r="55" spans="1:13" ht="15.75">
      <c r="A55" s="298">
        <f>SUM(A52:A54)</f>
        <v>0</v>
      </c>
      <c r="B55" s="301" t="str">
        <f>IF(A55=0," E L L E N Ő R Z Ö T T "," H I B Á S")</f>
        <v> E L L E N Ő R Z Ö T T </v>
      </c>
      <c r="D55" s="334" t="str">
        <f>'1. oldal'!M131</f>
        <v> VAN HIBÁS LAP !</v>
      </c>
      <c r="M55" s="298">
        <f>IF(B55=" E L L E N Ő R Z Ö T T ",0,1)</f>
        <v>0</v>
      </c>
    </row>
    <row r="57" spans="1:3" ht="31.5" customHeight="1">
      <c r="A57" s="489"/>
      <c r="C57" s="490"/>
    </row>
  </sheetData>
  <sheetProtection password="C1DD" sheet="1" objects="1" scenarios="1"/>
  <mergeCells count="51">
    <mergeCell ref="A1:M1"/>
    <mergeCell ref="A9:M9"/>
    <mergeCell ref="D11:M11"/>
    <mergeCell ref="A12:C12"/>
    <mergeCell ref="A11:C11"/>
    <mergeCell ref="A8:M8"/>
    <mergeCell ref="K22:M22"/>
    <mergeCell ref="K24:M24"/>
    <mergeCell ref="K25:M25"/>
    <mergeCell ref="K23:M23"/>
    <mergeCell ref="K18:M18"/>
    <mergeCell ref="A2:M2"/>
    <mergeCell ref="A6:M6"/>
    <mergeCell ref="A7:M7"/>
    <mergeCell ref="A13:M13"/>
    <mergeCell ref="A14:B14"/>
    <mergeCell ref="C14:M14"/>
    <mergeCell ref="B27:M27"/>
    <mergeCell ref="B29:J29"/>
    <mergeCell ref="K29:M29"/>
    <mergeCell ref="A15:D15"/>
    <mergeCell ref="E15:M15"/>
    <mergeCell ref="A17:M17"/>
    <mergeCell ref="A18:J18"/>
    <mergeCell ref="B19:M19"/>
    <mergeCell ref="B21:J21"/>
    <mergeCell ref="K21:M21"/>
    <mergeCell ref="B22:J22"/>
    <mergeCell ref="B23:J23"/>
    <mergeCell ref="B24:J24"/>
    <mergeCell ref="B25:J25"/>
    <mergeCell ref="B32:J32"/>
    <mergeCell ref="K32:M32"/>
    <mergeCell ref="B33:J33"/>
    <mergeCell ref="K33:M33"/>
    <mergeCell ref="B30:J30"/>
    <mergeCell ref="K30:M30"/>
    <mergeCell ref="B31:J31"/>
    <mergeCell ref="K31:M31"/>
    <mergeCell ref="B34:J34"/>
    <mergeCell ref="K34:M34"/>
    <mergeCell ref="B36:J36"/>
    <mergeCell ref="K36:M36"/>
    <mergeCell ref="B35:J35"/>
    <mergeCell ref="K35:M35"/>
    <mergeCell ref="A41:C41"/>
    <mergeCell ref="J44:M44"/>
    <mergeCell ref="B37:J37"/>
    <mergeCell ref="K37:M37"/>
    <mergeCell ref="B38:J38"/>
    <mergeCell ref="K38:M38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H92"/>
  <sheetViews>
    <sheetView showGridLines="0" view="pageBreakPreview" zoomScaleSheetLayoutView="100" zoomScalePageLayoutView="0" workbookViewId="0" topLeftCell="A31">
      <selection activeCell="A38" sqref="A38:F38"/>
    </sheetView>
  </sheetViews>
  <sheetFormatPr defaultColWidth="9.140625" defaultRowHeight="12.75"/>
  <cols>
    <col min="1" max="1" width="3.7109375" style="250" customWidth="1"/>
    <col min="2" max="2" width="8.7109375" style="250" customWidth="1"/>
    <col min="3" max="3" width="20.28125" style="250" customWidth="1"/>
    <col min="4" max="4" width="12.7109375" style="250" customWidth="1"/>
    <col min="5" max="5" width="4.140625" style="250" customWidth="1"/>
    <col min="6" max="6" width="16.8515625" style="250" customWidth="1"/>
    <col min="7" max="10" width="0" style="250" hidden="1" customWidth="1"/>
    <col min="11" max="11" width="6.140625" style="250" customWidth="1"/>
    <col min="12" max="12" width="3.00390625" style="250" customWidth="1"/>
    <col min="13" max="13" width="6.00390625" style="250" customWidth="1"/>
    <col min="14" max="14" width="10.421875" style="250" customWidth="1"/>
    <col min="15" max="15" width="9.140625" style="711" hidden="1" customWidth="1"/>
    <col min="16" max="16" width="7.140625" style="711" hidden="1" customWidth="1"/>
    <col min="17" max="17" width="5.421875" style="325" customWidth="1"/>
    <col min="18" max="18" width="0" style="250" hidden="1" customWidth="1"/>
    <col min="19" max="19" width="4.57421875" style="250" customWidth="1"/>
    <col min="20" max="25" width="0" style="250" hidden="1" customWidth="1"/>
    <col min="26" max="26" width="9.140625" style="250" customWidth="1"/>
    <col min="27" max="27" width="13.57421875" style="250" customWidth="1"/>
    <col min="28" max="16384" width="9.140625" style="250" customWidth="1"/>
  </cols>
  <sheetData>
    <row r="1" ht="15" customHeight="1" hidden="1"/>
    <row r="2" spans="1:14" ht="19.5" customHeight="1">
      <c r="A2" s="1266" t="s">
        <v>369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427"/>
    </row>
    <row r="3" ht="3.75" customHeight="1" hidden="1"/>
    <row r="4" ht="0.75" customHeight="1" hidden="1"/>
    <row r="5" spans="1:34" ht="14.25" customHeight="1">
      <c r="A5" s="491">
        <f>'A.LAP'!A5</f>
        <v>2012</v>
      </c>
      <c r="B5" s="468" t="s">
        <v>613</v>
      </c>
      <c r="C5" s="893"/>
      <c r="D5" s="1428" t="str">
        <f>'A.LAP'!D5</f>
        <v>Szabadszállás</v>
      </c>
      <c r="E5" s="1429"/>
      <c r="F5" s="893" t="s">
        <v>608</v>
      </c>
      <c r="G5" s="893"/>
      <c r="H5" s="893"/>
      <c r="I5" s="893"/>
      <c r="J5" s="893"/>
      <c r="K5" s="893"/>
      <c r="L5" s="893"/>
      <c r="M5" s="893"/>
      <c r="N5" s="894"/>
      <c r="O5" s="895"/>
      <c r="P5" s="896"/>
      <c r="Z5" s="897" t="s">
        <v>614</v>
      </c>
      <c r="AA5" s="897"/>
      <c r="AB5" s="897"/>
      <c r="AC5" s="897"/>
      <c r="AD5" s="897"/>
      <c r="AE5" s="897"/>
      <c r="AF5" s="897"/>
      <c r="AG5" s="897"/>
      <c r="AH5" s="897"/>
    </row>
    <row r="6" spans="1:34" ht="12" customHeight="1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6"/>
      <c r="Z6" s="897" t="s">
        <v>615</v>
      </c>
      <c r="AA6" s="897"/>
      <c r="AB6" s="897"/>
      <c r="AC6" s="897"/>
      <c r="AD6" s="897"/>
      <c r="AE6" s="897"/>
      <c r="AF6" s="897"/>
      <c r="AG6" s="897"/>
      <c r="AH6" s="897"/>
    </row>
    <row r="7" spans="1:34" ht="11.25" customHeight="1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Z7" s="897" t="s">
        <v>616</v>
      </c>
      <c r="AA7" s="897"/>
      <c r="AB7" s="897"/>
      <c r="AC7" s="897"/>
      <c r="AD7" s="897"/>
      <c r="AE7" s="897"/>
      <c r="AF7" s="897"/>
      <c r="AG7" s="897"/>
      <c r="AH7" s="897"/>
    </row>
    <row r="8" spans="1:34" ht="13.5" customHeight="1">
      <c r="A8" s="1327" t="s">
        <v>389</v>
      </c>
      <c r="B8" s="1327"/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  <c r="Z8" s="898" t="s">
        <v>617</v>
      </c>
      <c r="AA8" s="898"/>
      <c r="AB8" s="898"/>
      <c r="AC8" s="898"/>
      <c r="AD8" s="898"/>
      <c r="AE8" s="898"/>
      <c r="AF8" s="898"/>
      <c r="AG8" s="898"/>
      <c r="AH8" s="898"/>
    </row>
    <row r="9" ht="0.75" customHeight="1"/>
    <row r="10" spans="1:14" ht="13.5" customHeight="1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  <c r="N10" s="1282"/>
    </row>
    <row r="11" spans="1:14" ht="12.75" customHeight="1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2"/>
    </row>
    <row r="12" spans="1:14" ht="15.75">
      <c r="A12" s="1284">
        <f>'A.LAP'!A12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  <c r="N12" s="1284"/>
    </row>
    <row r="13" spans="1:14" ht="12.75" customHeight="1">
      <c r="A13" s="1270" t="s">
        <v>202</v>
      </c>
      <c r="B13" s="1270"/>
      <c r="C13" s="1323">
        <f>'A.LAP'!C13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</row>
    <row r="14" spans="1:14" ht="14.25">
      <c r="A14" s="1274" t="s">
        <v>363</v>
      </c>
      <c r="B14" s="1274"/>
      <c r="C14" s="1274"/>
      <c r="D14" s="1274"/>
      <c r="E14" s="693"/>
      <c r="F14" s="1324">
        <f>'A.LAP'!E14</f>
      </c>
      <c r="G14" s="1324"/>
      <c r="H14" s="1324"/>
      <c r="I14" s="1324"/>
      <c r="J14" s="1324"/>
      <c r="K14" s="1324"/>
      <c r="L14" s="1324"/>
      <c r="M14" s="1324"/>
      <c r="N14" s="1324"/>
    </row>
    <row r="15" spans="1:14" ht="1.5" customHeight="1">
      <c r="A15" s="240"/>
      <c r="B15" s="240"/>
      <c r="C15" s="240"/>
      <c r="D15" s="240"/>
      <c r="E15" s="240"/>
      <c r="F15" s="240"/>
      <c r="G15" s="240"/>
      <c r="H15" s="240"/>
      <c r="I15" s="240"/>
      <c r="K15" s="240"/>
      <c r="L15" s="240"/>
      <c r="M15" s="240"/>
      <c r="N15" s="240"/>
    </row>
    <row r="16" spans="1:14" ht="10.5" customHeight="1">
      <c r="A16" s="240" t="str">
        <f>'2. oldal'!A1</f>
        <v>II.</v>
      </c>
      <c r="B16" s="308" t="str">
        <f>'2. oldal'!B1</f>
        <v>Alkalmazott adóalap megosztás módszere:</v>
      </c>
      <c r="C16" s="240"/>
      <c r="D16" s="240"/>
      <c r="E16" s="240"/>
      <c r="F16" s="240"/>
      <c r="G16" s="240"/>
      <c r="H16" s="240"/>
      <c r="I16" s="240"/>
      <c r="K16" s="240"/>
      <c r="L16" s="240"/>
      <c r="M16" s="240"/>
      <c r="N16" s="240"/>
    </row>
    <row r="17" spans="1:14" ht="1.5" customHeight="1">
      <c r="A17" s="240"/>
      <c r="B17" s="240"/>
      <c r="C17" s="240"/>
      <c r="D17" s="240"/>
      <c r="E17" s="240"/>
      <c r="F17" s="240"/>
      <c r="G17" s="240"/>
      <c r="H17" s="240"/>
      <c r="I17" s="240"/>
      <c r="K17" s="240"/>
      <c r="L17" s="240"/>
      <c r="M17" s="240"/>
      <c r="N17" s="240"/>
    </row>
    <row r="18" spans="1:32" ht="13.5" customHeight="1">
      <c r="A18" s="701">
        <f>'2. oldal'!B3</f>
      </c>
      <c r="B18" s="692" t="s">
        <v>610</v>
      </c>
      <c r="D18" s="240"/>
      <c r="E18" s="701">
        <f>IF(K33&gt;0,"X","")</f>
      </c>
      <c r="F18" s="692" t="s">
        <v>848</v>
      </c>
      <c r="G18" s="240"/>
      <c r="H18" s="240"/>
      <c r="I18" s="240"/>
      <c r="K18" s="240"/>
      <c r="L18" s="240"/>
      <c r="M18" s="240"/>
      <c r="N18" s="240"/>
      <c r="AE18" s="250">
        <f>IF(E18="",0,1)</f>
        <v>0</v>
      </c>
      <c r="AF18" s="250">
        <f>AE18+AE20</f>
        <v>0</v>
      </c>
    </row>
    <row r="19" spans="1:32" ht="13.5" customHeight="1">
      <c r="A19" s="701">
        <f>'2. oldal'!B4</f>
      </c>
      <c r="B19" s="692" t="s">
        <v>611</v>
      </c>
      <c r="D19" s="240"/>
      <c r="E19" s="701">
        <f>IF(K35&gt;0,"X","")</f>
      </c>
      <c r="F19" s="692" t="s">
        <v>849</v>
      </c>
      <c r="G19" s="240"/>
      <c r="H19" s="240"/>
      <c r="I19" s="240"/>
      <c r="K19" s="240"/>
      <c r="L19" s="240"/>
      <c r="M19" s="240"/>
      <c r="N19" s="240"/>
      <c r="AE19" s="250">
        <f>IF(E19="",0,1)</f>
        <v>0</v>
      </c>
      <c r="AF19" s="250">
        <f>AE18+AE19</f>
        <v>0</v>
      </c>
    </row>
    <row r="20" spans="1:32" ht="13.5" customHeight="1">
      <c r="A20" s="701">
        <f>'2. oldal'!B5</f>
      </c>
      <c r="B20" s="692" t="s">
        <v>612</v>
      </c>
      <c r="D20" s="240"/>
      <c r="E20" s="701">
        <f>IF(K37&gt;0,"X","")</f>
      </c>
      <c r="F20" s="692" t="s">
        <v>850</v>
      </c>
      <c r="G20" s="240"/>
      <c r="H20" s="240"/>
      <c r="I20" s="240"/>
      <c r="K20" s="240"/>
      <c r="L20" s="240"/>
      <c r="M20" s="240"/>
      <c r="N20" s="240"/>
      <c r="AE20" s="250">
        <f>IF(E20="",0,1)</f>
        <v>0</v>
      </c>
      <c r="AF20" s="250">
        <f>AE19+AE20</f>
        <v>0</v>
      </c>
    </row>
    <row r="21" spans="1:14" ht="13.5" customHeight="1">
      <c r="A21" s="701">
        <f>'2. oldal'!B6</f>
      </c>
      <c r="B21" s="692" t="s">
        <v>309</v>
      </c>
      <c r="D21" s="240"/>
      <c r="E21" s="240"/>
      <c r="F21" s="240"/>
      <c r="G21" s="240"/>
      <c r="H21" s="240"/>
      <c r="I21" s="240"/>
      <c r="K21" s="240"/>
      <c r="L21" s="240"/>
      <c r="M21" s="240"/>
      <c r="N21" s="240"/>
    </row>
    <row r="22" spans="1:14" ht="1.5" customHeight="1">
      <c r="A22" s="240"/>
      <c r="B22" s="240"/>
      <c r="C22" s="240"/>
      <c r="D22" s="240"/>
      <c r="E22" s="240"/>
      <c r="F22" s="240"/>
      <c r="G22" s="240"/>
      <c r="H22" s="240"/>
      <c r="I22" s="240"/>
      <c r="K22" s="240"/>
      <c r="L22" s="240"/>
      <c r="M22" s="240"/>
      <c r="N22" s="240"/>
    </row>
    <row r="23" spans="1:16" ht="24.75" customHeight="1">
      <c r="A23" s="1325" t="s">
        <v>392</v>
      </c>
      <c r="B23" s="1325"/>
      <c r="C23" s="1325"/>
      <c r="D23" s="1325"/>
      <c r="E23" s="1325"/>
      <c r="F23" s="1325"/>
      <c r="G23" s="492"/>
      <c r="H23" s="492"/>
      <c r="I23" s="492"/>
      <c r="J23" s="492"/>
      <c r="K23" s="1326" t="s">
        <v>365</v>
      </c>
      <c r="L23" s="1326"/>
      <c r="M23" s="1326"/>
      <c r="N23" s="1326"/>
      <c r="P23" s="714"/>
    </row>
    <row r="24" spans="1:32" ht="23.25" customHeight="1">
      <c r="A24" s="1316" t="s">
        <v>393</v>
      </c>
      <c r="B24" s="1316"/>
      <c r="C24" s="1316"/>
      <c r="D24" s="1316"/>
      <c r="E24" s="1316"/>
      <c r="F24" s="1316"/>
      <c r="G24" s="492"/>
      <c r="H24" s="492"/>
      <c r="I24" s="492"/>
      <c r="J24" s="492"/>
      <c r="K24" s="1315"/>
      <c r="L24" s="1315"/>
      <c r="M24" s="1315"/>
      <c r="N24" s="1315"/>
      <c r="O24" s="711">
        <f>IF(K25&gt;K24,1,0)</f>
        <v>0</v>
      </c>
      <c r="P24" s="711">
        <f>IF(K25&gt;K24," Hiba 1 - 2 sor:  a 1 nem lehet kisebb, mint 2.","")</f>
      </c>
      <c r="Q24" s="325">
        <f>IF(K24&gt;0,1,0)</f>
        <v>0</v>
      </c>
      <c r="R24" s="250">
        <f>IF(S24="",0,1)</f>
        <v>0</v>
      </c>
      <c r="S24" s="479">
        <f>IF(K24=ROUND((K24),0),"","Csak egész számot írtat be")</f>
      </c>
      <c r="V24" s="479">
        <f>IF(W24=0,"","Negatív szám!")</f>
      </c>
      <c r="W24" s="250">
        <f>IF(K24&lt;0,1,0)</f>
        <v>0</v>
      </c>
      <c r="Z24" s="493" t="s">
        <v>826</v>
      </c>
      <c r="AE24" s="250">
        <f>Q24</f>
        <v>0</v>
      </c>
      <c r="AF24" s="250">
        <f>IF((Q24+Q27)&gt;0,1,0)</f>
        <v>0</v>
      </c>
    </row>
    <row r="25" spans="1:23" ht="15" customHeight="1">
      <c r="A25" s="1306" t="s">
        <v>397</v>
      </c>
      <c r="B25" s="1306"/>
      <c r="C25" s="1306"/>
      <c r="D25" s="1306"/>
      <c r="E25" s="1306"/>
      <c r="F25" s="1306"/>
      <c r="G25" s="492"/>
      <c r="H25" s="492"/>
      <c r="I25" s="492"/>
      <c r="J25" s="492"/>
      <c r="K25" s="1317"/>
      <c r="L25" s="1318"/>
      <c r="M25" s="1318"/>
      <c r="N25" s="1319"/>
      <c r="Q25" s="325">
        <f aca="true" t="shared" si="0" ref="Q25:Q30">IF(K25&gt;0,1,0)</f>
        <v>0</v>
      </c>
      <c r="R25" s="250">
        <f>IF(S25="",0,1)</f>
        <v>0</v>
      </c>
      <c r="S25" s="479">
        <f>IF(K25=ROUND((K25),0),"","Csak egész számot írtat be")</f>
      </c>
      <c r="V25" s="479">
        <f>IF(W25=0,"","Negatív szám!")</f>
      </c>
      <c r="W25" s="250">
        <f aca="true" t="shared" si="1" ref="W25:W32">IF(K25&lt;0,1,0)</f>
        <v>0</v>
      </c>
    </row>
    <row r="26" spans="1:26" ht="9" customHeight="1">
      <c r="A26" s="1306"/>
      <c r="B26" s="1306"/>
      <c r="C26" s="1306"/>
      <c r="D26" s="1306"/>
      <c r="E26" s="1306"/>
      <c r="F26" s="1306"/>
      <c r="G26" s="492"/>
      <c r="H26" s="492"/>
      <c r="I26" s="492"/>
      <c r="J26" s="492"/>
      <c r="K26" s="1320"/>
      <c r="L26" s="1321"/>
      <c r="M26" s="1321"/>
      <c r="N26" s="1322"/>
      <c r="R26" s="250">
        <f>IF(S26="",0,1)</f>
        <v>0</v>
      </c>
      <c r="S26" s="479">
        <f>IF(K26=ROUND((K26),0),"","Csak egész számot írtat be")</f>
      </c>
      <c r="V26" s="479">
        <f>IF(W26=0,"","Negatív szám!")</f>
      </c>
      <c r="W26" s="250">
        <f t="shared" si="1"/>
        <v>0</v>
      </c>
      <c r="Z26" s="493" t="s">
        <v>826</v>
      </c>
    </row>
    <row r="27" spans="1:32" ht="22.5" customHeight="1">
      <c r="A27" s="1306" t="s">
        <v>394</v>
      </c>
      <c r="B27" s="1306"/>
      <c r="C27" s="1306"/>
      <c r="D27" s="1306"/>
      <c r="E27" s="1306"/>
      <c r="F27" s="1306"/>
      <c r="G27" s="492"/>
      <c r="H27" s="492"/>
      <c r="I27" s="492"/>
      <c r="J27" s="492"/>
      <c r="K27" s="1315"/>
      <c r="L27" s="1315"/>
      <c r="M27" s="1315"/>
      <c r="N27" s="1315"/>
      <c r="O27" s="711">
        <f>IF(K28&gt;K27,1,0)</f>
        <v>0</v>
      </c>
      <c r="P27" s="711">
        <f>IF(K28&gt;K27," Hiba 3 - 4 sor: a 4 nem lehet kisebb, mint 3.","")</f>
      </c>
      <c r="Q27" s="325">
        <f t="shared" si="0"/>
        <v>0</v>
      </c>
      <c r="R27" s="250">
        <f>IF(S27="",0,1)</f>
        <v>0</v>
      </c>
      <c r="S27" s="479">
        <f>IF(K27=ROUND((K27),0),"","Csak egész számot írtat be")</f>
      </c>
      <c r="V27" s="479">
        <f>IF(W27=0,"","Negatív szám!")</f>
      </c>
      <c r="W27" s="250">
        <f t="shared" si="1"/>
        <v>0</v>
      </c>
      <c r="Z27" s="493" t="s">
        <v>826</v>
      </c>
      <c r="AE27" s="250">
        <f>Q27*10</f>
        <v>0</v>
      </c>
      <c r="AF27" s="250">
        <f>Q31+AF24</f>
        <v>0</v>
      </c>
    </row>
    <row r="28" spans="1:26" ht="24.75" customHeight="1">
      <c r="A28" s="1306" t="s">
        <v>398</v>
      </c>
      <c r="B28" s="1306"/>
      <c r="C28" s="1306"/>
      <c r="D28" s="1306"/>
      <c r="E28" s="1306"/>
      <c r="F28" s="1306"/>
      <c r="G28" s="492"/>
      <c r="H28" s="492"/>
      <c r="I28" s="492"/>
      <c r="J28" s="492"/>
      <c r="K28" s="1315"/>
      <c r="L28" s="1315"/>
      <c r="M28" s="1315"/>
      <c r="N28" s="1315"/>
      <c r="Q28" s="325">
        <f t="shared" si="0"/>
        <v>0</v>
      </c>
      <c r="R28" s="250">
        <f>IF(S28="",0,1)</f>
        <v>0</v>
      </c>
      <c r="S28" s="479">
        <f>IF(K28=ROUND((K28),0),"","Csak egész számot írtat be")</f>
      </c>
      <c r="V28" s="479">
        <f>IF(W28=0,"","Negatív szám!")</f>
      </c>
      <c r="W28" s="250">
        <f t="shared" si="1"/>
        <v>0</v>
      </c>
      <c r="Z28" s="493" t="s">
        <v>826</v>
      </c>
    </row>
    <row r="29" spans="1:31" ht="33.75" customHeight="1">
      <c r="A29" s="1306" t="s">
        <v>832</v>
      </c>
      <c r="B29" s="1306"/>
      <c r="C29" s="1306"/>
      <c r="D29" s="1306"/>
      <c r="E29" s="1306"/>
      <c r="F29" s="1306"/>
      <c r="G29" s="492"/>
      <c r="H29" s="492"/>
      <c r="I29" s="492"/>
      <c r="J29" s="492"/>
      <c r="K29" s="1315"/>
      <c r="L29" s="1315"/>
      <c r="M29" s="1315"/>
      <c r="N29" s="1315"/>
      <c r="O29" s="711">
        <f>IF(K30&gt;K29,1,0)</f>
        <v>0</v>
      </c>
      <c r="P29" s="711">
        <f>IF(K30&gt;K29," Hiba 5 - 6 sor:  a 5 nem lehet kisebb, mint 6.","")</f>
      </c>
      <c r="Q29" s="325">
        <f t="shared" si="0"/>
        <v>0</v>
      </c>
      <c r="S29" s="479"/>
      <c r="V29" s="479"/>
      <c r="W29" s="250">
        <f t="shared" si="1"/>
        <v>0</v>
      </c>
      <c r="Y29" s="494"/>
      <c r="AA29" s="494">
        <f>K29+K31</f>
        <v>0</v>
      </c>
      <c r="AE29" s="250">
        <f>Q29*100</f>
        <v>0</v>
      </c>
    </row>
    <row r="30" spans="1:23" ht="33.75" customHeight="1">
      <c r="A30" s="1306" t="s">
        <v>833</v>
      </c>
      <c r="B30" s="1306"/>
      <c r="C30" s="1306"/>
      <c r="D30" s="1306"/>
      <c r="E30" s="1306"/>
      <c r="F30" s="1306"/>
      <c r="G30" s="492"/>
      <c r="H30" s="492"/>
      <c r="I30" s="492"/>
      <c r="J30" s="492"/>
      <c r="K30" s="1315"/>
      <c r="L30" s="1315"/>
      <c r="M30" s="1315"/>
      <c r="N30" s="1315"/>
      <c r="Q30" s="325">
        <f t="shared" si="0"/>
        <v>0</v>
      </c>
      <c r="S30" s="479"/>
      <c r="V30" s="479"/>
      <c r="W30" s="250">
        <f t="shared" si="1"/>
        <v>0</v>
      </c>
    </row>
    <row r="31" spans="1:31" ht="24.75" customHeight="1">
      <c r="A31" s="1306" t="s">
        <v>846</v>
      </c>
      <c r="B31" s="1306"/>
      <c r="C31" s="1306"/>
      <c r="D31" s="1306"/>
      <c r="E31" s="1306"/>
      <c r="F31" s="1306"/>
      <c r="G31" s="492"/>
      <c r="H31" s="492"/>
      <c r="I31" s="492"/>
      <c r="J31" s="492"/>
      <c r="K31" s="1307"/>
      <c r="L31" s="1307"/>
      <c r="M31" s="1307"/>
      <c r="N31" s="694" t="s">
        <v>395</v>
      </c>
      <c r="O31" s="711">
        <f>IF(K32&gt;K31,1,0)</f>
        <v>0</v>
      </c>
      <c r="P31" s="711">
        <f>IF(K32&gt;K31," Hiba 7 - 8 sor:  a 7 nem lehet kisebb, mint 8.","")</f>
      </c>
      <c r="Q31" s="325">
        <f aca="true" t="shared" si="2" ref="Q31:Q40">IF(K31&gt;0,1,0)</f>
        <v>0</v>
      </c>
      <c r="R31" s="250">
        <f>SUM(R24:R29)</f>
        <v>0</v>
      </c>
      <c r="S31" s="479"/>
      <c r="V31" s="479"/>
      <c r="W31" s="250">
        <f t="shared" si="1"/>
        <v>0</v>
      </c>
      <c r="Y31" s="494"/>
      <c r="AA31" s="494">
        <f>K30+K32</f>
        <v>0</v>
      </c>
      <c r="AE31" s="250">
        <f>Q31*1000</f>
        <v>0</v>
      </c>
    </row>
    <row r="32" spans="1:23" ht="39.75" customHeight="1">
      <c r="A32" s="1306" t="s">
        <v>847</v>
      </c>
      <c r="B32" s="1306"/>
      <c r="C32" s="1306"/>
      <c r="D32" s="1306"/>
      <c r="E32" s="1306"/>
      <c r="F32" s="1306"/>
      <c r="G32" s="240"/>
      <c r="H32" s="240"/>
      <c r="I32" s="240"/>
      <c r="J32" s="240"/>
      <c r="K32" s="1307"/>
      <c r="L32" s="1307"/>
      <c r="M32" s="1307"/>
      <c r="N32" s="495" t="s">
        <v>395</v>
      </c>
      <c r="Q32" s="325">
        <f t="shared" si="2"/>
        <v>0</v>
      </c>
      <c r="S32" s="479"/>
      <c r="V32" s="479"/>
      <c r="W32" s="250">
        <f t="shared" si="1"/>
        <v>0</v>
      </c>
    </row>
    <row r="33" spans="1:31" ht="37.5" customHeight="1">
      <c r="A33" s="1306" t="s">
        <v>851</v>
      </c>
      <c r="B33" s="1306"/>
      <c r="C33" s="1306"/>
      <c r="D33" s="1306"/>
      <c r="E33" s="1306"/>
      <c r="F33" s="1306"/>
      <c r="G33" s="492"/>
      <c r="H33" s="492"/>
      <c r="I33" s="492"/>
      <c r="J33" s="492"/>
      <c r="K33" s="1313"/>
      <c r="L33" s="1313"/>
      <c r="M33" s="1313"/>
      <c r="N33" s="1313"/>
      <c r="P33" s="711">
        <f>IF(K34&gt;K33," Hiba 9 - 10 sor:  a 9 nem lehet kisebb, mint 10.","")</f>
      </c>
      <c r="Q33" s="325">
        <f t="shared" si="2"/>
        <v>0</v>
      </c>
      <c r="S33" s="479"/>
      <c r="V33" s="479"/>
      <c r="AA33" s="250">
        <f>IF(K33&gt;0,2,1)</f>
        <v>1</v>
      </c>
      <c r="AE33" s="250">
        <f>Q33*10000</f>
        <v>0</v>
      </c>
    </row>
    <row r="34" spans="1:22" ht="24.75" customHeight="1">
      <c r="A34" s="1306" t="s">
        <v>835</v>
      </c>
      <c r="B34" s="1306"/>
      <c r="C34" s="1306"/>
      <c r="D34" s="1306"/>
      <c r="E34" s="1306"/>
      <c r="F34" s="1306"/>
      <c r="G34" s="492"/>
      <c r="H34" s="492"/>
      <c r="I34" s="492"/>
      <c r="J34" s="492"/>
      <c r="K34" s="1313"/>
      <c r="L34" s="1313"/>
      <c r="M34" s="1313"/>
      <c r="N34" s="1313"/>
      <c r="Q34" s="325">
        <f t="shared" si="2"/>
        <v>0</v>
      </c>
      <c r="S34" s="479"/>
      <c r="V34" s="479"/>
    </row>
    <row r="35" spans="1:31" ht="24.75" customHeight="1">
      <c r="A35" s="1306" t="s">
        <v>836</v>
      </c>
      <c r="B35" s="1306"/>
      <c r="C35" s="1306"/>
      <c r="D35" s="1306"/>
      <c r="E35" s="1306"/>
      <c r="F35" s="1306"/>
      <c r="G35" s="240"/>
      <c r="H35" s="240"/>
      <c r="I35" s="240"/>
      <c r="J35" s="240"/>
      <c r="K35" s="1307"/>
      <c r="L35" s="1307"/>
      <c r="M35" s="1308"/>
      <c r="N35" s="691" t="s">
        <v>834</v>
      </c>
      <c r="P35" s="711">
        <f>IF(K36&gt;K35," Hiba 11 - 12 sor:  a 11 nem lehet kisebb, mint 12.","")</f>
      </c>
      <c r="Q35" s="325">
        <f t="shared" si="2"/>
        <v>0</v>
      </c>
      <c r="S35" s="479"/>
      <c r="V35" s="479"/>
      <c r="AE35" s="250">
        <f>Q35*100000</f>
        <v>0</v>
      </c>
    </row>
    <row r="36" spans="1:22" ht="23.25" customHeight="1">
      <c r="A36" s="1306" t="s">
        <v>837</v>
      </c>
      <c r="B36" s="1306"/>
      <c r="C36" s="1306"/>
      <c r="D36" s="1306"/>
      <c r="E36" s="1306"/>
      <c r="F36" s="1306"/>
      <c r="G36" s="240"/>
      <c r="H36" s="240"/>
      <c r="I36" s="240"/>
      <c r="J36" s="240"/>
      <c r="K36" s="1307"/>
      <c r="L36" s="1307"/>
      <c r="M36" s="1308"/>
      <c r="N36" s="691" t="s">
        <v>834</v>
      </c>
      <c r="Q36" s="325">
        <f t="shared" si="2"/>
        <v>0</v>
      </c>
      <c r="S36" s="479"/>
      <c r="V36" s="479"/>
    </row>
    <row r="37" spans="1:32" ht="26.25" customHeight="1">
      <c r="A37" s="1306" t="s">
        <v>838</v>
      </c>
      <c r="B37" s="1306"/>
      <c r="C37" s="1306"/>
      <c r="D37" s="1306"/>
      <c r="E37" s="1306"/>
      <c r="F37" s="1306"/>
      <c r="G37" s="240"/>
      <c r="H37" s="240"/>
      <c r="I37" s="240"/>
      <c r="J37" s="240"/>
      <c r="K37" s="1307"/>
      <c r="L37" s="1307"/>
      <c r="M37" s="1308"/>
      <c r="N37" s="691" t="s">
        <v>834</v>
      </c>
      <c r="P37" s="711">
        <f>IF(K38&gt;K37," Hiba 13 - 14 sor:  a 13 nem lehet kisebb, mint 14.","")</f>
      </c>
      <c r="Q37" s="325">
        <f t="shared" si="2"/>
        <v>0</v>
      </c>
      <c r="S37" s="479"/>
      <c r="V37" s="479"/>
      <c r="AA37" s="703">
        <f>K35+K37+K39</f>
        <v>0</v>
      </c>
      <c r="AE37" s="250">
        <f>Q37*1000000</f>
        <v>0</v>
      </c>
      <c r="AF37" s="250">
        <f>IF(AA37&gt;0,1,0)</f>
        <v>0</v>
      </c>
    </row>
    <row r="38" spans="1:33" ht="24.75" customHeight="1">
      <c r="A38" s="1306" t="s">
        <v>840</v>
      </c>
      <c r="B38" s="1306"/>
      <c r="C38" s="1306"/>
      <c r="D38" s="1306"/>
      <c r="E38" s="1306"/>
      <c r="F38" s="1306"/>
      <c r="G38" s="240"/>
      <c r="H38" s="240"/>
      <c r="I38" s="240"/>
      <c r="J38" s="240"/>
      <c r="K38" s="1307"/>
      <c r="L38" s="1307"/>
      <c r="M38" s="1308"/>
      <c r="N38" s="691" t="s">
        <v>834</v>
      </c>
      <c r="Q38" s="325">
        <f t="shared" si="2"/>
        <v>0</v>
      </c>
      <c r="S38" s="479"/>
      <c r="V38" s="479"/>
      <c r="AA38" s="703">
        <f>K36+K38+K40</f>
        <v>0</v>
      </c>
      <c r="AF38" s="250">
        <f>IF((K24+K27)&gt;0,1,0)</f>
        <v>0</v>
      </c>
      <c r="AG38" s="250">
        <f>AF37+AF38</f>
        <v>0</v>
      </c>
    </row>
    <row r="39" spans="1:31" ht="23.25" customHeight="1">
      <c r="A39" s="1306" t="s">
        <v>841</v>
      </c>
      <c r="B39" s="1306"/>
      <c r="C39" s="1306"/>
      <c r="D39" s="1306"/>
      <c r="E39" s="1306"/>
      <c r="F39" s="1306"/>
      <c r="G39" s="240"/>
      <c r="H39" s="240"/>
      <c r="I39" s="240"/>
      <c r="J39" s="240"/>
      <c r="K39" s="1307"/>
      <c r="L39" s="1307"/>
      <c r="M39" s="1308"/>
      <c r="N39" s="691" t="s">
        <v>834</v>
      </c>
      <c r="P39" s="711">
        <f>IF(K40&gt;K39," Hiba 15 - 16 sor:  a 15 nem lehet kisebb, mint 16.","")</f>
      </c>
      <c r="Q39" s="325">
        <f t="shared" si="2"/>
        <v>0</v>
      </c>
      <c r="S39" s="479"/>
      <c r="V39" s="479"/>
      <c r="AE39" s="250">
        <f>Q39*1000000</f>
        <v>0</v>
      </c>
    </row>
    <row r="40" spans="1:22" ht="25.5" customHeight="1">
      <c r="A40" s="1306" t="s">
        <v>845</v>
      </c>
      <c r="B40" s="1306"/>
      <c r="C40" s="1306"/>
      <c r="D40" s="1306"/>
      <c r="E40" s="1306"/>
      <c r="F40" s="1306"/>
      <c r="G40" s="240"/>
      <c r="H40" s="240"/>
      <c r="I40" s="240"/>
      <c r="J40" s="240"/>
      <c r="K40" s="1307"/>
      <c r="L40" s="1307"/>
      <c r="M40" s="1308"/>
      <c r="N40" s="691" t="s">
        <v>834</v>
      </c>
      <c r="Q40" s="325">
        <f t="shared" si="2"/>
        <v>0</v>
      </c>
      <c r="S40" s="479"/>
      <c r="V40" s="479"/>
    </row>
    <row r="41" spans="2:31" ht="11.25" customHeight="1">
      <c r="B41" s="484" t="str">
        <f>'A.LAP'!B24</f>
        <v>Készítette:</v>
      </c>
      <c r="C41" s="485" t="str">
        <f>'A.LAP'!C24</f>
        <v>www.iparuzes.hu                   .</v>
      </c>
      <c r="R41" s="250">
        <f>R31+W29</f>
        <v>0</v>
      </c>
      <c r="AE41" s="250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276" t="str">
        <f>'2. oldal'!B81</f>
        <v>Szabadszállás</v>
      </c>
      <c r="B45" s="1276"/>
      <c r="C45" s="1276"/>
      <c r="D45" s="427">
        <f>'2. oldal'!E81</f>
        <v>2013</v>
      </c>
      <c r="E45" s="428"/>
      <c r="F45" s="486" t="s">
        <v>134</v>
      </c>
      <c r="G45" s="486"/>
      <c r="H45" s="486"/>
      <c r="I45" s="486"/>
      <c r="J45" s="486"/>
      <c r="K45" s="427">
        <f>'2. oldal'!H81</f>
        <v>0</v>
      </c>
      <c r="L45" s="486" t="s">
        <v>135</v>
      </c>
      <c r="M45" s="427">
        <f>'2. oldal'!N81</f>
        <v>0</v>
      </c>
      <c r="N45" s="250" t="s">
        <v>210</v>
      </c>
    </row>
    <row r="46" ht="6.75" customHeight="1"/>
    <row r="47" ht="2.25" customHeight="1"/>
    <row r="48" spans="4:14" ht="9" customHeight="1"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8"/>
    </row>
    <row r="49" spans="1:14" ht="12" customHeight="1">
      <c r="A49" s="298"/>
      <c r="B49" s="479"/>
      <c r="D49" s="1277" t="s">
        <v>388</v>
      </c>
      <c r="E49" s="1277"/>
      <c r="F49" s="1277"/>
      <c r="G49" s="1277"/>
      <c r="H49" s="1277"/>
      <c r="I49" s="1277"/>
      <c r="J49" s="1277"/>
      <c r="K49" s="1277"/>
      <c r="L49" s="1277"/>
      <c r="M49" s="1277"/>
      <c r="N49" s="1277"/>
    </row>
    <row r="50" spans="1:2" ht="9" customHeight="1">
      <c r="A50" s="695">
        <f>IF(B50="",0,1)</f>
        <v>0</v>
      </c>
      <c r="B50" s="235">
        <f>IF(O24=1,P24,"")</f>
      </c>
    </row>
    <row r="51" spans="1:2" ht="9" customHeight="1">
      <c r="A51" s="695">
        <f>IF(B51="",0,1)</f>
        <v>0</v>
      </c>
      <c r="B51" s="235">
        <f>IF(O27=1,P27,"")</f>
      </c>
    </row>
    <row r="52" spans="1:2" ht="9" customHeight="1">
      <c r="A52" s="695">
        <f>IF(R41=0,"",1)</f>
      </c>
      <c r="B52" s="235">
        <f>IF(A52="","","A lapon negatív és/vagy tört szám van!")</f>
      </c>
    </row>
    <row r="53" spans="1:2" ht="9" customHeight="1">
      <c r="A53" s="695">
        <f>IF(B53="",0,1)</f>
        <v>0</v>
      </c>
      <c r="B53" s="235">
        <f>IF('x4_ oldal'!A68=0,"","1-4. oldal hibás!")</f>
      </c>
    </row>
    <row r="54" spans="1:12" ht="0.75" customHeight="1">
      <c r="A54" s="298">
        <v>0</v>
      </c>
      <c r="B54" s="1305">
        <f>IF(OR((AND(K24&gt;0,K25=0)),(AND(K27&gt;0,K28=0))),"Figyelmeztetés 111 ill.113 sorban: Ki kell töltenie a 112 ill.114  sorokat! Csak kivételes esetben lehet az önkormányzati összeg nulla.","")</f>
      </c>
      <c r="C54" s="1305"/>
      <c r="D54" s="1305"/>
      <c r="E54" s="1305"/>
      <c r="F54" s="1305"/>
      <c r="G54" s="1305"/>
      <c r="H54" s="1305"/>
      <c r="I54" s="1305"/>
      <c r="J54" s="1305"/>
      <c r="K54" s="1305"/>
      <c r="L54" s="1305"/>
    </row>
    <row r="55" spans="1:14" ht="15.75">
      <c r="A55" s="298">
        <f>SUM(A48:A54)+A58</f>
        <v>0</v>
      </c>
      <c r="B55" s="301" t="str">
        <f>IF(A55=0," E L L E N Ő R Z Ö T T"," H I B Á S")</f>
        <v> E L L E N Ő R Z Ö T T</v>
      </c>
      <c r="D55" s="334" t="str">
        <f>'1. oldal'!M131</f>
        <v> VAN HIBÁS LAP !</v>
      </c>
      <c r="E55" s="334"/>
      <c r="N55" s="298">
        <f>IF(B55=" E L L E N Ő R Z Ö T T",0,1)</f>
        <v>0</v>
      </c>
    </row>
    <row r="57" spans="2:13" ht="15">
      <c r="B57" s="326"/>
      <c r="C57" s="326" t="s">
        <v>827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</row>
    <row r="58" spans="1:13" ht="15.75">
      <c r="A58" s="250">
        <f>SUM(A59:A100)</f>
        <v>0</v>
      </c>
      <c r="B58" s="326"/>
      <c r="C58" s="478">
        <f>IF(A58=1," Hibás az F lap megosztása. Hiba okát az alábbi listában találja","")</f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</row>
    <row r="59" spans="1:13" ht="15">
      <c r="A59" s="250">
        <f>IF(C59="",0,1)</f>
        <v>0</v>
      </c>
      <c r="B59" s="326"/>
      <c r="C59" s="326">
        <f>P24</f>
      </c>
      <c r="D59" s="326"/>
      <c r="E59" s="326"/>
      <c r="F59" s="326"/>
      <c r="G59" s="326"/>
      <c r="H59" s="326"/>
      <c r="I59" s="326"/>
      <c r="J59" s="326"/>
      <c r="K59" s="326"/>
      <c r="L59" s="326"/>
      <c r="M59" s="326"/>
    </row>
    <row r="60" spans="1:13" ht="15">
      <c r="A60" s="250">
        <f aca="true" t="shared" si="3" ref="A60:A92">IF(C60="",0,1)</f>
        <v>0</v>
      </c>
      <c r="B60" s="326"/>
      <c r="C60" s="326">
        <f>P27</f>
      </c>
      <c r="D60" s="326"/>
      <c r="E60" s="326"/>
      <c r="F60" s="326"/>
      <c r="G60" s="326"/>
      <c r="H60" s="326"/>
      <c r="I60" s="326"/>
      <c r="J60" s="326"/>
      <c r="K60" s="326"/>
      <c r="L60" s="326"/>
      <c r="M60" s="326"/>
    </row>
    <row r="61" spans="1:13" ht="15">
      <c r="A61" s="250">
        <f t="shared" si="3"/>
        <v>0</v>
      </c>
      <c r="B61" s="326"/>
      <c r="C61" s="326">
        <f>P29</f>
      </c>
      <c r="D61" s="326"/>
      <c r="E61" s="326"/>
      <c r="F61" s="326"/>
      <c r="G61" s="326"/>
      <c r="H61" s="326"/>
      <c r="I61" s="326"/>
      <c r="J61" s="326"/>
      <c r="K61" s="326"/>
      <c r="L61" s="326"/>
      <c r="M61" s="326"/>
    </row>
    <row r="62" spans="1:13" ht="15">
      <c r="A62" s="250">
        <f t="shared" si="3"/>
        <v>0</v>
      </c>
      <c r="B62" s="326"/>
      <c r="C62" s="326">
        <f>P31</f>
      </c>
      <c r="D62" s="326"/>
      <c r="E62" s="326"/>
      <c r="F62" s="326"/>
      <c r="G62" s="326"/>
      <c r="H62" s="326"/>
      <c r="I62" s="326"/>
      <c r="J62" s="326"/>
      <c r="K62" s="326"/>
      <c r="L62" s="326"/>
      <c r="M62" s="326"/>
    </row>
    <row r="63" spans="1:13" ht="15">
      <c r="A63" s="250">
        <f t="shared" si="3"/>
        <v>0</v>
      </c>
      <c r="B63" s="326"/>
      <c r="C63" s="326">
        <f>P33</f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</row>
    <row r="64" spans="1:13" ht="15">
      <c r="A64" s="250">
        <f t="shared" si="3"/>
        <v>0</v>
      </c>
      <c r="B64" s="326"/>
      <c r="C64" s="326">
        <f>P35</f>
      </c>
      <c r="D64" s="326"/>
      <c r="E64" s="326"/>
      <c r="F64" s="326"/>
      <c r="G64" s="326"/>
      <c r="H64" s="326"/>
      <c r="I64" s="326"/>
      <c r="J64" s="326"/>
      <c r="K64" s="326"/>
      <c r="L64" s="326"/>
      <c r="M64" s="326"/>
    </row>
    <row r="65" spans="1:13" ht="15">
      <c r="A65" s="250">
        <f t="shared" si="3"/>
        <v>0</v>
      </c>
      <c r="B65" s="326"/>
      <c r="C65" s="326">
        <f>P37</f>
      </c>
      <c r="D65" s="326"/>
      <c r="E65" s="326"/>
      <c r="F65" s="326"/>
      <c r="G65" s="326"/>
      <c r="H65" s="326"/>
      <c r="I65" s="326"/>
      <c r="J65" s="326"/>
      <c r="K65" s="326"/>
      <c r="L65" s="326"/>
      <c r="M65" s="326"/>
    </row>
    <row r="66" spans="1:13" ht="15">
      <c r="A66" s="250">
        <f t="shared" si="3"/>
        <v>0</v>
      </c>
      <c r="B66" s="326"/>
      <c r="C66" s="326">
        <f>P39</f>
      </c>
      <c r="D66" s="326"/>
      <c r="E66" s="326"/>
      <c r="F66" s="326"/>
      <c r="G66" s="326"/>
      <c r="H66" s="326"/>
      <c r="I66" s="326"/>
      <c r="J66" s="326"/>
      <c r="K66" s="326"/>
      <c r="L66" s="326"/>
      <c r="M66" s="326"/>
    </row>
    <row r="67" spans="1:13" ht="15">
      <c r="A67" s="250">
        <f t="shared" si="3"/>
        <v>0</v>
      </c>
      <c r="B67" s="326"/>
      <c r="C67" s="326">
        <f>IF($AE$41=101,"Az 5 és 6 sor mással nem kombinálható.","")</f>
      </c>
      <c r="D67" s="326"/>
      <c r="E67" s="326"/>
      <c r="F67" s="326"/>
      <c r="G67" s="326"/>
      <c r="H67" s="326"/>
      <c r="I67" s="326"/>
      <c r="J67" s="326"/>
      <c r="K67" s="326"/>
      <c r="L67" s="326"/>
      <c r="M67" s="326"/>
    </row>
    <row r="68" spans="1:3" ht="15">
      <c r="A68" s="250">
        <f t="shared" si="3"/>
        <v>0</v>
      </c>
      <c r="C68" s="326">
        <f>IF($AE$41=110,"Az 5 és 6 sor mással nem kombinálható.","")</f>
      </c>
    </row>
    <row r="69" spans="1:3" ht="15">
      <c r="A69" s="250">
        <f t="shared" si="3"/>
        <v>0</v>
      </c>
      <c r="C69" s="326">
        <f>IF($AE$41=1001,"Az 7 és 8 sor mással nem kombinálható.","")</f>
      </c>
    </row>
    <row r="70" spans="1:3" ht="15">
      <c r="A70" s="250">
        <f t="shared" si="3"/>
        <v>0</v>
      </c>
      <c r="C70" s="326">
        <f>IF($AE$41=1010,"Az 7 és 8 sor mással nem kombinálható.","")</f>
      </c>
    </row>
    <row r="71" spans="1:3" ht="15">
      <c r="A71" s="250">
        <f t="shared" si="3"/>
        <v>0</v>
      </c>
      <c r="C71" s="326">
        <f>IF($AF$27=2,"Az 5-8 sor más megosztással nem kombinálható.","")</f>
      </c>
    </row>
    <row r="72" spans="1:3" ht="15">
      <c r="A72" s="250">
        <f t="shared" si="3"/>
        <v>0</v>
      </c>
      <c r="C72" s="326">
        <f>IF($AE$41=10010,"Az 9 és 10 sor csak eszközmegosztással nem kombinálható.","")</f>
      </c>
    </row>
    <row r="73" spans="1:3" ht="15">
      <c r="A73" s="250">
        <f t="shared" si="3"/>
        <v>0</v>
      </c>
      <c r="C73" s="326">
        <f>IF($AE$41=10100,"Az 9 és 10 sor 1-4 pontokon kívül mással nem kombinálható.","")</f>
      </c>
    </row>
    <row r="74" spans="1:3" ht="15">
      <c r="A74" s="250">
        <f t="shared" si="3"/>
        <v>0</v>
      </c>
      <c r="C74" s="326">
        <f>IF($AE$41=10111,"Az 9 és 10 sor 1-4 pontokon kívül mással nem kombinálható.","")</f>
      </c>
    </row>
    <row r="75" spans="1:3" ht="15">
      <c r="A75" s="250">
        <f t="shared" si="3"/>
        <v>0</v>
      </c>
      <c r="C75" s="326">
        <f>IF($AE$41=100001,"Az 11 és 12 sor mással nem kombinálható.","")</f>
      </c>
    </row>
    <row r="76" spans="1:3" ht="15">
      <c r="A76" s="250">
        <f t="shared" si="3"/>
        <v>0</v>
      </c>
      <c r="C76" s="326">
        <f>IF($AE$41=100011,"Az 11 és 12 sor mással nem kombinálható.","")</f>
      </c>
    </row>
    <row r="77" spans="1:3" ht="15">
      <c r="A77" s="250">
        <f t="shared" si="3"/>
        <v>0</v>
      </c>
      <c r="C77" s="326">
        <f>IF($AE$41=100111,"Az 11 és 12 sor mással nem kombinálható.","")</f>
      </c>
    </row>
    <row r="78" spans="1:3" ht="15">
      <c r="A78" s="250">
        <f t="shared" si="3"/>
        <v>0</v>
      </c>
      <c r="C78" s="326">
        <f>IF($AE$41=101111,"Az 11 és 12 sor mással nem kombinálható.","")</f>
      </c>
    </row>
    <row r="79" spans="1:3" ht="15">
      <c r="A79" s="250">
        <f t="shared" si="3"/>
        <v>0</v>
      </c>
      <c r="C79" s="326">
        <f>IF($AE$41=111111,"Az 11 és 12 sor mással nem kombinálható.","")</f>
      </c>
    </row>
    <row r="80" spans="1:3" ht="15">
      <c r="A80" s="250">
        <f t="shared" si="3"/>
        <v>0</v>
      </c>
      <c r="C80" s="326">
        <f>IF($AE$41=111110,"Az 11 és 12 sor mással nem kombinálható.","")</f>
      </c>
    </row>
    <row r="81" spans="1:3" ht="15">
      <c r="A81" s="250">
        <f t="shared" si="3"/>
        <v>0</v>
      </c>
      <c r="C81" s="326">
        <f>IF($AE$41=111100,"Az 11 és 12 sor mással nem kombinálható.","")</f>
      </c>
    </row>
    <row r="82" spans="1:3" ht="15">
      <c r="A82" s="250">
        <f t="shared" si="3"/>
        <v>0</v>
      </c>
      <c r="C82" s="326">
        <f>IF($AE$41=111000,"Az 11 és 12 sor mással nem kombinálható.","")</f>
      </c>
    </row>
    <row r="83" spans="1:3" ht="15">
      <c r="A83" s="250">
        <f t="shared" si="3"/>
        <v>0</v>
      </c>
      <c r="C83" s="326">
        <f>IF($AE$41=110000,"Az 11 és 12 sor mással nem kombinálható.","")</f>
      </c>
    </row>
    <row r="84" spans="1:3" ht="15">
      <c r="A84" s="250">
        <f t="shared" si="3"/>
        <v>0</v>
      </c>
      <c r="C84" s="326">
        <f>IF($AE$41=110001,"Az 11 és 12 sor mással nem kombinálható.","")</f>
      </c>
    </row>
    <row r="85" spans="1:3" ht="15">
      <c r="A85" s="250">
        <f t="shared" si="3"/>
        <v>0</v>
      </c>
      <c r="C85" s="326">
        <f>IF($AE$41=110011,"Az 11 és 12 sor mással nem kombinálható.","")</f>
      </c>
    </row>
    <row r="86" spans="1:3" ht="15">
      <c r="A86" s="250">
        <f t="shared" si="3"/>
        <v>0</v>
      </c>
      <c r="C86" s="326">
        <f>IF($AE$41=110111,"Az 11 és 12 sor mással nem kombinálható.","")</f>
      </c>
    </row>
    <row r="87" spans="1:3" ht="15">
      <c r="A87" s="250">
        <f t="shared" si="3"/>
        <v>0</v>
      </c>
      <c r="C87" s="326">
        <f>IF($AE$41=111101,"Az 11 és 12 sor mással nem kombinálható.","")</f>
      </c>
    </row>
    <row r="88" spans="1:3" ht="15">
      <c r="A88" s="250">
        <f t="shared" si="3"/>
        <v>0</v>
      </c>
      <c r="C88" s="326">
        <f>IF(AF18=2,"Az 9 és 10 sor 11-16 sorig nem kombinálható.","")</f>
      </c>
    </row>
    <row r="89" spans="1:3" ht="15">
      <c r="A89" s="250">
        <f t="shared" si="3"/>
        <v>0</v>
      </c>
      <c r="C89" s="326">
        <f>IF(AF19=2,"Az 9 és 10 sor 11-16 sorig nem kombinálható.","")</f>
      </c>
    </row>
    <row r="90" spans="1:3" ht="15">
      <c r="A90" s="250">
        <f t="shared" si="3"/>
        <v>0</v>
      </c>
      <c r="C90" s="326">
        <f>IF($AE$41=10000,"Az 9 és 10 sorokon csak az adóalap 50%-a osztható meg, 1-4 soron a másik 50%.","")</f>
      </c>
    </row>
    <row r="91" spans="1:3" ht="15">
      <c r="A91" s="250">
        <f t="shared" si="3"/>
        <v>0</v>
      </c>
      <c r="C91" s="326">
        <f>IF(AF20=2,"Az 11 és 12 sor 13-16 sorig nem kombinálható.","")</f>
      </c>
    </row>
    <row r="92" spans="1:3" ht="15">
      <c r="A92" s="250">
        <f t="shared" si="3"/>
        <v>0</v>
      </c>
      <c r="C92" s="326">
        <f>IF(AG38=2,"Az 11 és 12 sor 13-16 sorig nem kombinálható.","")</f>
      </c>
    </row>
  </sheetData>
  <sheetProtection password="C1DD" sheet="1" objects="1" scenarios="1"/>
  <mergeCells count="50">
    <mergeCell ref="A14:D14"/>
    <mergeCell ref="F14:N14"/>
    <mergeCell ref="A6:N6"/>
    <mergeCell ref="A7:N7"/>
    <mergeCell ref="A8:N8"/>
    <mergeCell ref="A10:C10"/>
    <mergeCell ref="D10:N10"/>
    <mergeCell ref="A11:C11"/>
    <mergeCell ref="A12:N12"/>
    <mergeCell ref="A13:B13"/>
    <mergeCell ref="C13:N13"/>
    <mergeCell ref="A29:F29"/>
    <mergeCell ref="K29:N29"/>
    <mergeCell ref="A23:F23"/>
    <mergeCell ref="K23:N23"/>
    <mergeCell ref="A24:F24"/>
    <mergeCell ref="K24:N24"/>
    <mergeCell ref="A25:F26"/>
    <mergeCell ref="K25:N26"/>
    <mergeCell ref="A27:F27"/>
    <mergeCell ref="K27:N27"/>
    <mergeCell ref="A28:F28"/>
    <mergeCell ref="K28:N28"/>
    <mergeCell ref="B54:L54"/>
    <mergeCell ref="A32:F32"/>
    <mergeCell ref="K32:M32"/>
    <mergeCell ref="A45:C45"/>
    <mergeCell ref="D49:N49"/>
    <mergeCell ref="A33:F33"/>
    <mergeCell ref="A36:F36"/>
    <mergeCell ref="K33:N33"/>
    <mergeCell ref="K36:M36"/>
    <mergeCell ref="A30:F30"/>
    <mergeCell ref="K30:N30"/>
    <mergeCell ref="A31:F31"/>
    <mergeCell ref="K31:M31"/>
    <mergeCell ref="A34:F34"/>
    <mergeCell ref="K34:N34"/>
    <mergeCell ref="A35:F35"/>
    <mergeCell ref="K35:M35"/>
    <mergeCell ref="A2:N2"/>
    <mergeCell ref="D5:E5"/>
    <mergeCell ref="A40:F40"/>
    <mergeCell ref="K40:M40"/>
    <mergeCell ref="A37:F37"/>
    <mergeCell ref="K37:M37"/>
    <mergeCell ref="A38:F38"/>
    <mergeCell ref="K38:M38"/>
    <mergeCell ref="A39:F39"/>
    <mergeCell ref="K39:M39"/>
  </mergeCells>
  <printOptions/>
  <pageMargins left="0.4701388888888889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8"/>
  <sheetViews>
    <sheetView showGridLines="0"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4.7109375" style="250" customWidth="1"/>
    <col min="2" max="2" width="8.7109375" style="250" customWidth="1"/>
    <col min="3" max="3" width="20.28125" style="250" customWidth="1"/>
    <col min="4" max="4" width="12.7109375" style="250" customWidth="1"/>
    <col min="5" max="5" width="2.8515625" style="250" customWidth="1"/>
    <col min="6" max="9" width="0" style="250" hidden="1" customWidth="1"/>
    <col min="10" max="10" width="19.8515625" style="250" customWidth="1"/>
    <col min="11" max="11" width="3.00390625" style="250" customWidth="1"/>
    <col min="12" max="12" width="4.421875" style="250" customWidth="1"/>
    <col min="13" max="13" width="10.421875" style="250" customWidth="1"/>
    <col min="14" max="18" width="0" style="240" hidden="1" customWidth="1"/>
    <col min="19" max="20" width="0" style="250" hidden="1" customWidth="1"/>
    <col min="21" max="16384" width="9.140625" style="250" customWidth="1"/>
  </cols>
  <sheetData>
    <row r="1" ht="18" customHeight="1">
      <c r="M1" s="466" t="s">
        <v>495</v>
      </c>
    </row>
    <row r="2" spans="1:13" ht="4.5" customHeight="1" hidden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spans="1:13" ht="3" customHeight="1" hidden="1">
      <c r="A3" s="1285"/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</row>
    <row r="4" spans="1:13" ht="3" customHeight="1">
      <c r="A4" s="1285"/>
      <c r="B4" s="1285"/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</row>
    <row r="5" spans="1:18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  <c r="N5" s="250"/>
      <c r="O5" s="250"/>
      <c r="P5" s="250"/>
      <c r="Q5" s="250"/>
      <c r="R5" s="250"/>
    </row>
    <row r="6" spans="1:18" ht="1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250"/>
      <c r="O6" s="250"/>
      <c r="P6" s="250"/>
      <c r="Q6" s="250"/>
      <c r="R6" s="250"/>
    </row>
    <row r="7" spans="1:18" ht="1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250"/>
      <c r="O7" s="250"/>
      <c r="P7" s="250"/>
      <c r="Q7" s="250"/>
      <c r="R7" s="250"/>
    </row>
    <row r="8" spans="1:18" ht="18" customHeight="1">
      <c r="A8" s="1285" t="s">
        <v>496</v>
      </c>
      <c r="B8" s="1285"/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  <c r="N8" s="250"/>
      <c r="O8" s="250"/>
      <c r="P8" s="250"/>
      <c r="Q8" s="250"/>
      <c r="R8" s="250"/>
    </row>
    <row r="9" spans="1:18" ht="15" hidden="1">
      <c r="A9" s="1267"/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250"/>
      <c r="O9" s="250"/>
      <c r="P9" s="250"/>
      <c r="Q9" s="250"/>
      <c r="R9" s="250"/>
    </row>
    <row r="10" spans="1:13" ht="15">
      <c r="A10" s="1281" t="s">
        <v>361</v>
      </c>
      <c r="B10" s="1281"/>
      <c r="C10" s="1281"/>
      <c r="D10" s="550"/>
      <c r="E10" s="550"/>
      <c r="F10" s="550"/>
      <c r="G10" s="550"/>
      <c r="H10" s="550"/>
      <c r="I10" s="550"/>
      <c r="J10" s="550"/>
      <c r="K10" s="550"/>
      <c r="L10" s="550"/>
      <c r="M10" s="551"/>
    </row>
    <row r="11" spans="1:22" ht="15.75">
      <c r="A11" s="1270" t="s">
        <v>391</v>
      </c>
      <c r="B11" s="1270"/>
      <c r="C11" s="1270"/>
      <c r="D11" s="1432">
        <f>'1. oldal'!K69</f>
        <v>0</v>
      </c>
      <c r="E11" s="1432"/>
      <c r="F11" s="1432"/>
      <c r="G11" s="1432"/>
      <c r="H11" s="1432"/>
      <c r="I11" s="1432"/>
      <c r="J11" s="1432"/>
      <c r="K11" s="1432"/>
      <c r="L11" s="1432"/>
      <c r="M11" s="1432"/>
      <c r="V11" s="326" t="s">
        <v>769</v>
      </c>
    </row>
    <row r="12" spans="1:13" ht="15.75">
      <c r="A12" s="1270" t="s">
        <v>202</v>
      </c>
      <c r="B12" s="1270"/>
      <c r="C12" s="1323">
        <f>'A.LAP'!C13</f>
        <v>0</v>
      </c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</row>
    <row r="13" spans="1:22" ht="15">
      <c r="A13" s="1274" t="s">
        <v>497</v>
      </c>
      <c r="B13" s="1274"/>
      <c r="C13" s="1274"/>
      <c r="D13" s="1274"/>
      <c r="E13" s="1275">
        <f>'A.LAP'!E14</f>
      </c>
      <c r="F13" s="1275"/>
      <c r="G13" s="1275"/>
      <c r="H13" s="1275"/>
      <c r="I13" s="1275"/>
      <c r="J13" s="1275"/>
      <c r="K13" s="1275"/>
      <c r="L13" s="1275"/>
      <c r="M13" s="1275"/>
      <c r="V13" s="326" t="s">
        <v>498</v>
      </c>
    </row>
    <row r="14" spans="1:22" ht="13.5" customHeight="1">
      <c r="A14" s="311"/>
      <c r="B14" s="311"/>
      <c r="C14" s="311"/>
      <c r="D14" s="311"/>
      <c r="E14" s="311"/>
      <c r="F14" s="311"/>
      <c r="G14" s="311"/>
      <c r="H14" s="311"/>
      <c r="J14" s="240"/>
      <c r="K14" s="240"/>
      <c r="L14" s="240"/>
      <c r="M14" s="240"/>
      <c r="V14" s="326" t="s">
        <v>499</v>
      </c>
    </row>
    <row r="15" spans="1:13" ht="30" customHeight="1">
      <c r="A15" s="1431" t="s">
        <v>500</v>
      </c>
      <c r="B15" s="1431"/>
      <c r="C15" s="1431"/>
      <c r="D15" s="1431"/>
      <c r="E15" s="1431"/>
      <c r="J15" s="669" t="s">
        <v>365</v>
      </c>
      <c r="K15" s="1273" t="s">
        <v>132</v>
      </c>
      <c r="L15" s="1273"/>
      <c r="M15" s="1273"/>
    </row>
    <row r="16" spans="1:17" ht="30" customHeight="1">
      <c r="A16" s="474"/>
      <c r="B16" s="1434" t="s">
        <v>501</v>
      </c>
      <c r="C16" s="1434"/>
      <c r="D16" s="1434"/>
      <c r="E16" s="1434"/>
      <c r="F16" s="319"/>
      <c r="G16" s="319"/>
      <c r="H16" s="319"/>
      <c r="I16" s="319"/>
      <c r="J16" s="675">
        <f>SUM(J17:J36)</f>
        <v>0</v>
      </c>
      <c r="K16" s="1269"/>
      <c r="L16" s="1269"/>
      <c r="M16" s="1269"/>
      <c r="N16" s="531"/>
      <c r="Q16" s="240">
        <v>0</v>
      </c>
    </row>
    <row r="17" spans="1:17" ht="21.75" customHeight="1">
      <c r="A17" s="1430"/>
      <c r="B17" s="1430"/>
      <c r="C17" s="1430"/>
      <c r="D17" s="1430"/>
      <c r="E17" s="1430"/>
      <c r="F17" s="552"/>
      <c r="G17" s="552"/>
      <c r="H17" s="552"/>
      <c r="I17" s="552"/>
      <c r="J17" s="676"/>
      <c r="K17" s="1269"/>
      <c r="L17" s="1269"/>
      <c r="M17" s="1269"/>
      <c r="N17" s="479"/>
      <c r="Q17" s="240">
        <v>0</v>
      </c>
    </row>
    <row r="18" spans="1:17" ht="21.75" customHeight="1">
      <c r="A18" s="1430"/>
      <c r="B18" s="1430"/>
      <c r="C18" s="1430"/>
      <c r="D18" s="1430"/>
      <c r="E18" s="1430"/>
      <c r="F18" s="552"/>
      <c r="G18" s="552"/>
      <c r="H18" s="552"/>
      <c r="I18" s="552"/>
      <c r="J18" s="676"/>
      <c r="K18" s="1269"/>
      <c r="L18" s="1269"/>
      <c r="M18" s="1269"/>
      <c r="N18" s="479"/>
      <c r="Q18" s="240">
        <v>0</v>
      </c>
    </row>
    <row r="19" spans="1:17" ht="21.75" customHeight="1">
      <c r="A19" s="1430"/>
      <c r="B19" s="1430"/>
      <c r="C19" s="1430"/>
      <c r="D19" s="1430"/>
      <c r="E19" s="1430"/>
      <c r="F19" s="552"/>
      <c r="G19" s="552"/>
      <c r="H19" s="552"/>
      <c r="I19" s="552"/>
      <c r="J19" s="676"/>
      <c r="K19" s="1269"/>
      <c r="L19" s="1269"/>
      <c r="M19" s="1269"/>
      <c r="N19" s="479"/>
      <c r="Q19" s="240">
        <v>0</v>
      </c>
    </row>
    <row r="20" spans="1:17" ht="21.75" customHeight="1">
      <c r="A20" s="1430"/>
      <c r="B20" s="1430"/>
      <c r="C20" s="1430"/>
      <c r="D20" s="1430"/>
      <c r="E20" s="1430"/>
      <c r="F20" s="552"/>
      <c r="G20" s="552"/>
      <c r="H20" s="552"/>
      <c r="I20" s="552"/>
      <c r="J20" s="676"/>
      <c r="K20" s="1269"/>
      <c r="L20" s="1269"/>
      <c r="M20" s="1269"/>
      <c r="N20" s="479"/>
      <c r="Q20" s="240">
        <v>0</v>
      </c>
    </row>
    <row r="21" spans="1:17" ht="21.75" customHeight="1">
      <c r="A21" s="1430"/>
      <c r="B21" s="1430"/>
      <c r="C21" s="1430"/>
      <c r="D21" s="1430"/>
      <c r="E21" s="1430"/>
      <c r="F21" s="552"/>
      <c r="G21" s="552"/>
      <c r="H21" s="552"/>
      <c r="I21" s="552"/>
      <c r="J21" s="676"/>
      <c r="K21" s="1269"/>
      <c r="L21" s="1269"/>
      <c r="M21" s="1269"/>
      <c r="N21" s="479"/>
      <c r="Q21" s="240">
        <v>0</v>
      </c>
    </row>
    <row r="22" spans="1:17" ht="21.75" customHeight="1">
      <c r="A22" s="1430"/>
      <c r="B22" s="1430"/>
      <c r="C22" s="1430"/>
      <c r="D22" s="1430"/>
      <c r="E22" s="1430"/>
      <c r="F22" s="552"/>
      <c r="G22" s="552"/>
      <c r="H22" s="552"/>
      <c r="I22" s="552"/>
      <c r="J22" s="676"/>
      <c r="K22" s="1269"/>
      <c r="L22" s="1269"/>
      <c r="M22" s="1269"/>
      <c r="N22" s="479"/>
      <c r="Q22" s="240">
        <v>0</v>
      </c>
    </row>
    <row r="23" spans="1:17" ht="21.75" customHeight="1">
      <c r="A23" s="1430"/>
      <c r="B23" s="1430"/>
      <c r="C23" s="1430"/>
      <c r="D23" s="1430"/>
      <c r="E23" s="1430"/>
      <c r="F23" s="552"/>
      <c r="G23" s="552"/>
      <c r="H23" s="552"/>
      <c r="I23" s="552"/>
      <c r="J23" s="676"/>
      <c r="K23" s="1269"/>
      <c r="L23" s="1269"/>
      <c r="M23" s="1269"/>
      <c r="N23" s="479"/>
      <c r="Q23" s="240">
        <v>0</v>
      </c>
    </row>
    <row r="24" spans="1:17" ht="21.75" customHeight="1">
      <c r="A24" s="1430"/>
      <c r="B24" s="1430"/>
      <c r="C24" s="1430"/>
      <c r="D24" s="1430"/>
      <c r="E24" s="1430"/>
      <c r="F24" s="552"/>
      <c r="G24" s="552"/>
      <c r="H24" s="552"/>
      <c r="I24" s="552"/>
      <c r="J24" s="676"/>
      <c r="K24" s="1269"/>
      <c r="L24" s="1269"/>
      <c r="M24" s="1269"/>
      <c r="N24" s="479"/>
      <c r="Q24" s="240">
        <v>0</v>
      </c>
    </row>
    <row r="25" spans="1:17" ht="21.75" customHeight="1">
      <c r="A25" s="1430"/>
      <c r="B25" s="1430"/>
      <c r="C25" s="1430"/>
      <c r="D25" s="1430"/>
      <c r="E25" s="1430"/>
      <c r="F25" s="552"/>
      <c r="G25" s="552"/>
      <c r="H25" s="552"/>
      <c r="I25" s="552"/>
      <c r="J25" s="676"/>
      <c r="K25" s="1269"/>
      <c r="L25" s="1269"/>
      <c r="M25" s="1269"/>
      <c r="N25" s="479"/>
      <c r="Q25" s="240">
        <v>0</v>
      </c>
    </row>
    <row r="26" spans="1:17" ht="21.75" customHeight="1">
      <c r="A26" s="1430"/>
      <c r="B26" s="1430"/>
      <c r="C26" s="1430"/>
      <c r="D26" s="1430"/>
      <c r="E26" s="1430"/>
      <c r="F26" s="552"/>
      <c r="G26" s="552"/>
      <c r="H26" s="552"/>
      <c r="I26" s="552"/>
      <c r="J26" s="676"/>
      <c r="K26" s="1269"/>
      <c r="L26" s="1269"/>
      <c r="M26" s="1269"/>
      <c r="N26" s="479"/>
      <c r="Q26" s="240">
        <v>0</v>
      </c>
    </row>
    <row r="27" spans="1:17" ht="21.75" customHeight="1">
      <c r="A27" s="1430"/>
      <c r="B27" s="1430"/>
      <c r="C27" s="1430"/>
      <c r="D27" s="1430"/>
      <c r="E27" s="1430"/>
      <c r="F27" s="552"/>
      <c r="G27" s="552"/>
      <c r="H27" s="552"/>
      <c r="I27" s="552"/>
      <c r="J27" s="676"/>
      <c r="K27" s="1269"/>
      <c r="L27" s="1269"/>
      <c r="M27" s="1269"/>
      <c r="N27" s="479"/>
      <c r="Q27" s="240">
        <v>0</v>
      </c>
    </row>
    <row r="28" spans="1:17" ht="21.75" customHeight="1">
      <c r="A28" s="1430"/>
      <c r="B28" s="1430"/>
      <c r="C28" s="1430"/>
      <c r="D28" s="1430"/>
      <c r="E28" s="1430"/>
      <c r="F28" s="552"/>
      <c r="G28" s="552"/>
      <c r="H28" s="552"/>
      <c r="I28" s="552"/>
      <c r="J28" s="676"/>
      <c r="K28" s="1269"/>
      <c r="L28" s="1269"/>
      <c r="M28" s="1269"/>
      <c r="N28" s="479"/>
      <c r="Q28" s="240">
        <v>0</v>
      </c>
    </row>
    <row r="29" spans="1:17" ht="21.75" customHeight="1">
      <c r="A29" s="1430"/>
      <c r="B29" s="1430"/>
      <c r="C29" s="1430"/>
      <c r="D29" s="1430"/>
      <c r="E29" s="1430"/>
      <c r="F29" s="552"/>
      <c r="G29" s="552"/>
      <c r="H29" s="552"/>
      <c r="I29" s="552"/>
      <c r="J29" s="676"/>
      <c r="K29" s="1269"/>
      <c r="L29" s="1269"/>
      <c r="M29" s="1269"/>
      <c r="N29" s="479"/>
      <c r="Q29" s="240">
        <v>0</v>
      </c>
    </row>
    <row r="30" spans="1:17" ht="21.75" customHeight="1">
      <c r="A30" s="1430"/>
      <c r="B30" s="1430"/>
      <c r="C30" s="1430"/>
      <c r="D30" s="1430"/>
      <c r="E30" s="1430"/>
      <c r="F30" s="552"/>
      <c r="G30" s="552"/>
      <c r="H30" s="552"/>
      <c r="I30" s="552"/>
      <c r="J30" s="676"/>
      <c r="K30" s="1269"/>
      <c r="L30" s="1269"/>
      <c r="M30" s="1269"/>
      <c r="N30" s="479"/>
      <c r="Q30" s="240">
        <v>0</v>
      </c>
    </row>
    <row r="31" spans="1:17" ht="21.75" customHeight="1">
      <c r="A31" s="1430"/>
      <c r="B31" s="1430"/>
      <c r="C31" s="1430"/>
      <c r="D31" s="1430"/>
      <c r="E31" s="1430"/>
      <c r="F31" s="553"/>
      <c r="G31" s="553"/>
      <c r="H31" s="553"/>
      <c r="I31" s="553"/>
      <c r="J31" s="677"/>
      <c r="K31" s="1269"/>
      <c r="L31" s="1269"/>
      <c r="M31" s="1269"/>
      <c r="N31" s="479"/>
      <c r="O31" s="536"/>
      <c r="P31" s="531"/>
      <c r="Q31" s="240">
        <v>0</v>
      </c>
    </row>
    <row r="32" spans="1:17" ht="21.75" customHeight="1">
      <c r="A32" s="1430"/>
      <c r="B32" s="1430"/>
      <c r="C32" s="1430"/>
      <c r="D32" s="1430"/>
      <c r="E32" s="1430"/>
      <c r="F32" s="552"/>
      <c r="G32" s="552"/>
      <c r="H32" s="552"/>
      <c r="I32" s="552"/>
      <c r="J32" s="676"/>
      <c r="K32" s="1269"/>
      <c r="L32" s="1269"/>
      <c r="M32" s="1269"/>
      <c r="N32" s="479"/>
      <c r="O32" s="264"/>
      <c r="Q32" s="240">
        <v>0</v>
      </c>
    </row>
    <row r="33" spans="1:17" ht="21.75" customHeight="1">
      <c r="A33" s="1430"/>
      <c r="B33" s="1430"/>
      <c r="C33" s="1430"/>
      <c r="D33" s="1430"/>
      <c r="E33" s="1430"/>
      <c r="F33" s="554"/>
      <c r="G33" s="554"/>
      <c r="H33" s="554"/>
      <c r="I33" s="554"/>
      <c r="J33" s="678"/>
      <c r="K33" s="1269"/>
      <c r="L33" s="1269"/>
      <c r="M33" s="1269"/>
      <c r="N33" s="479"/>
      <c r="Q33" s="240">
        <v>0</v>
      </c>
    </row>
    <row r="34" spans="1:17" ht="21.75" customHeight="1">
      <c r="A34" s="1430"/>
      <c r="B34" s="1430"/>
      <c r="C34" s="1430"/>
      <c r="D34" s="1430"/>
      <c r="E34" s="1430"/>
      <c r="F34" s="555"/>
      <c r="G34" s="555"/>
      <c r="H34" s="555"/>
      <c r="I34" s="555"/>
      <c r="J34" s="678"/>
      <c r="K34" s="1269"/>
      <c r="L34" s="1269"/>
      <c r="M34" s="1269"/>
      <c r="N34" s="479"/>
      <c r="Q34" s="240">
        <v>0</v>
      </c>
    </row>
    <row r="35" spans="1:17" ht="21.75" customHeight="1">
      <c r="A35" s="1430"/>
      <c r="B35" s="1430"/>
      <c r="C35" s="1430"/>
      <c r="D35" s="1430"/>
      <c r="E35" s="1430"/>
      <c r="F35" s="555"/>
      <c r="G35" s="555"/>
      <c r="H35" s="555"/>
      <c r="I35" s="555"/>
      <c r="J35" s="678"/>
      <c r="K35" s="1269"/>
      <c r="L35" s="1269"/>
      <c r="M35" s="1269"/>
      <c r="N35" s="479"/>
      <c r="Q35" s="240">
        <v>0</v>
      </c>
    </row>
    <row r="36" spans="1:17" ht="21.75" customHeight="1">
      <c r="A36" s="1430"/>
      <c r="B36" s="1430"/>
      <c r="C36" s="1430"/>
      <c r="D36" s="1430"/>
      <c r="E36" s="1430"/>
      <c r="F36" s="555"/>
      <c r="G36" s="555"/>
      <c r="H36" s="555"/>
      <c r="I36" s="555"/>
      <c r="J36" s="679"/>
      <c r="K36" s="1269"/>
      <c r="L36" s="1269"/>
      <c r="M36" s="1269"/>
      <c r="N36" s="479"/>
      <c r="Q36" s="240">
        <v>0</v>
      </c>
    </row>
    <row r="37" spans="1:17" ht="12.75" customHeight="1" hidden="1">
      <c r="A37" s="1433"/>
      <c r="B37" s="1433"/>
      <c r="C37" s="1433"/>
      <c r="D37" s="1433"/>
      <c r="E37" s="1433"/>
      <c r="F37" s="240"/>
      <c r="G37" s="240"/>
      <c r="H37" s="240"/>
      <c r="I37" s="240"/>
      <c r="J37" s="556"/>
      <c r="K37" s="1279"/>
      <c r="L37" s="1279"/>
      <c r="M37" s="1279"/>
      <c r="N37" s="479"/>
      <c r="Q37" s="240">
        <v>0</v>
      </c>
    </row>
    <row r="38" ht="5.25" customHeight="1">
      <c r="Q38" s="240">
        <v>0</v>
      </c>
    </row>
    <row r="39" spans="1:13" ht="15.75">
      <c r="A39" s="1276" t="str">
        <f>B_LAP!A27</f>
        <v>Szabadszállás</v>
      </c>
      <c r="B39" s="1276"/>
      <c r="C39" s="1276"/>
      <c r="D39" s="427">
        <f>B_LAP!D27</f>
        <v>2013</v>
      </c>
      <c r="E39" s="486" t="s">
        <v>134</v>
      </c>
      <c r="F39" s="486"/>
      <c r="G39" s="486"/>
      <c r="H39" s="486"/>
      <c r="I39" s="486"/>
      <c r="J39" s="427">
        <f>B_LAP!J27</f>
        <v>0</v>
      </c>
      <c r="K39" s="486" t="s">
        <v>135</v>
      </c>
      <c r="L39" s="427">
        <f>B_LAP!L27</f>
        <v>0</v>
      </c>
      <c r="M39" s="250" t="s">
        <v>210</v>
      </c>
    </row>
    <row r="40" ht="5.25" customHeight="1"/>
    <row r="41" spans="10:13" ht="15">
      <c r="J41" s="487"/>
      <c r="K41" s="487"/>
      <c r="L41" s="487"/>
      <c r="M41" s="487"/>
    </row>
    <row r="42" spans="10:13" ht="15">
      <c r="J42" s="1277" t="s">
        <v>388</v>
      </c>
      <c r="K42" s="1277"/>
      <c r="L42" s="1277"/>
      <c r="M42" s="1277"/>
    </row>
    <row r="43" spans="1:2" ht="15">
      <c r="A43" s="298">
        <v>0</v>
      </c>
      <c r="B43" s="235"/>
    </row>
    <row r="44" spans="1:2" ht="15">
      <c r="A44" s="298"/>
      <c r="B44" s="235"/>
    </row>
    <row r="45" spans="1:2" ht="15">
      <c r="A45" s="298"/>
      <c r="B45" s="235"/>
    </row>
    <row r="46" spans="1:13" ht="15.75">
      <c r="A46" s="298"/>
      <c r="B46" s="301"/>
      <c r="D46" s="334"/>
      <c r="M46" s="298"/>
    </row>
    <row r="48" spans="1:3" ht="31.5" customHeight="1">
      <c r="A48" s="489"/>
      <c r="C48" s="490"/>
    </row>
  </sheetData>
  <sheetProtection password="CE2A" sheet="1" objects="1" scenarios="1"/>
  <mergeCells count="62">
    <mergeCell ref="A12:B12"/>
    <mergeCell ref="A17:E17"/>
    <mergeCell ref="K17:M17"/>
    <mergeCell ref="C12:M12"/>
    <mergeCell ref="A13:D13"/>
    <mergeCell ref="E13:M13"/>
    <mergeCell ref="B16:E16"/>
    <mergeCell ref="K16:M16"/>
    <mergeCell ref="J42:M42"/>
    <mergeCell ref="A35:E35"/>
    <mergeCell ref="K35:M35"/>
    <mergeCell ref="A36:E36"/>
    <mergeCell ref="K36:M36"/>
    <mergeCell ref="A37:E37"/>
    <mergeCell ref="K37:M37"/>
    <mergeCell ref="A39:C39"/>
    <mergeCell ref="A2:M2"/>
    <mergeCell ref="A3:M3"/>
    <mergeCell ref="A6:M6"/>
    <mergeCell ref="A7:M7"/>
    <mergeCell ref="A31:E31"/>
    <mergeCell ref="A19:E19"/>
    <mergeCell ref="K19:M19"/>
    <mergeCell ref="A20:E20"/>
    <mergeCell ref="A23:E23"/>
    <mergeCell ref="K23:M23"/>
    <mergeCell ref="A24:E24"/>
    <mergeCell ref="K24:M24"/>
    <mergeCell ref="A25:E25"/>
    <mergeCell ref="K25:M25"/>
    <mergeCell ref="A32:E32"/>
    <mergeCell ref="K32:M32"/>
    <mergeCell ref="K31:M31"/>
    <mergeCell ref="K20:M20"/>
    <mergeCell ref="A21:E21"/>
    <mergeCell ref="K21:M21"/>
    <mergeCell ref="A22:E22"/>
    <mergeCell ref="K22:M22"/>
    <mergeCell ref="A28:E28"/>
    <mergeCell ref="K28:M28"/>
    <mergeCell ref="K33:M33"/>
    <mergeCell ref="A34:E34"/>
    <mergeCell ref="K34:M34"/>
    <mergeCell ref="A33:E33"/>
    <mergeCell ref="A9:M9"/>
    <mergeCell ref="A8:M8"/>
    <mergeCell ref="A4:M4"/>
    <mergeCell ref="A18:E18"/>
    <mergeCell ref="K18:M18"/>
    <mergeCell ref="A15:E15"/>
    <mergeCell ref="K15:M15"/>
    <mergeCell ref="A10:C10"/>
    <mergeCell ref="A11:C11"/>
    <mergeCell ref="D11:M11"/>
    <mergeCell ref="A26:E26"/>
    <mergeCell ref="K26:M26"/>
    <mergeCell ref="A27:E27"/>
    <mergeCell ref="K27:M27"/>
    <mergeCell ref="A29:E29"/>
    <mergeCell ref="K29:M29"/>
    <mergeCell ref="A30:E30"/>
    <mergeCell ref="K30:M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62"/>
  <sheetViews>
    <sheetView showGridLines="0" view="pageBreakPreview" zoomScaleSheetLayoutView="100" zoomScalePageLayoutView="0" workbookViewId="0" topLeftCell="A3">
      <selection activeCell="D19" sqref="D19"/>
    </sheetView>
  </sheetViews>
  <sheetFormatPr defaultColWidth="9.140625" defaultRowHeight="12.75"/>
  <cols>
    <col min="1" max="1" width="2.28125" style="202" customWidth="1"/>
    <col min="2" max="2" width="6.28125" style="202" customWidth="1"/>
    <col min="3" max="3" width="8.57421875" style="202" customWidth="1"/>
    <col min="4" max="4" width="3.57421875" style="202" customWidth="1"/>
    <col min="5" max="5" width="2.00390625" style="496" customWidth="1"/>
    <col min="6" max="6" width="10.140625" style="202" customWidth="1"/>
    <col min="7" max="7" width="8.57421875" style="202" customWidth="1"/>
    <col min="8" max="8" width="6.140625" style="202" customWidth="1"/>
    <col min="9" max="10" width="9.140625" style="202" customWidth="1"/>
    <col min="11" max="11" width="1.7109375" style="202" customWidth="1"/>
    <col min="12" max="12" width="9.421875" style="202" customWidth="1"/>
    <col min="13" max="13" width="6.00390625" style="202" customWidth="1"/>
    <col min="14" max="14" width="3.8515625" style="202" customWidth="1"/>
    <col min="15" max="15" width="0.71875" style="202" customWidth="1"/>
    <col min="16" max="18" width="9.421875" style="202" customWidth="1"/>
    <col min="19" max="19" width="3.140625" style="202" customWidth="1"/>
    <col min="20" max="20" width="18.8515625" style="202" customWidth="1"/>
    <col min="21" max="21" width="3.140625" style="202" customWidth="1"/>
    <col min="22" max="26" width="9.140625" style="202" hidden="1" customWidth="1"/>
    <col min="27" max="16384" width="9.140625" style="202" customWidth="1"/>
  </cols>
  <sheetData>
    <row r="1" spans="1:21" ht="5.25" customHeight="1">
      <c r="A1" s="1441"/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  <c r="M1" s="1441"/>
      <c r="N1" s="1441"/>
      <c r="O1" s="1441"/>
      <c r="P1" s="1441"/>
      <c r="Q1" s="1441"/>
      <c r="R1" s="1441"/>
      <c r="S1" s="498"/>
      <c r="T1" s="1470"/>
      <c r="U1" s="1441"/>
    </row>
    <row r="2" spans="1:21" ht="0.75" customHeight="1">
      <c r="A2" s="1441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497"/>
      <c r="T2" s="1470"/>
      <c r="U2" s="1441"/>
    </row>
    <row r="3" spans="1:21" ht="12" customHeight="1">
      <c r="A3" s="498"/>
      <c r="B3" s="499"/>
      <c r="C3" s="500"/>
      <c r="D3" s="500"/>
      <c r="E3" s="501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2"/>
      <c r="U3" s="498"/>
    </row>
    <row r="4" spans="1:21" ht="12.75" hidden="1">
      <c r="A4" s="498"/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498"/>
    </row>
    <row r="5" spans="1:21" ht="12.75" customHeight="1">
      <c r="A5" s="1441"/>
      <c r="B5" s="1471" t="s">
        <v>618</v>
      </c>
      <c r="C5" s="1471"/>
      <c r="D5" s="1471"/>
      <c r="E5" s="1471"/>
      <c r="F5" s="1471"/>
      <c r="G5" s="1471"/>
      <c r="H5" s="1471"/>
      <c r="I5" s="1471"/>
      <c r="J5" s="1471"/>
      <c r="K5" s="1471"/>
      <c r="L5" s="1471"/>
      <c r="M5" s="1471"/>
      <c r="N5" s="1471"/>
      <c r="O5" s="1471"/>
      <c r="P5" s="1471"/>
      <c r="Q5" s="1471"/>
      <c r="R5" s="1471"/>
      <c r="S5" s="1471"/>
      <c r="T5" s="1471"/>
      <c r="U5" s="1441"/>
    </row>
    <row r="6" spans="1:21" ht="12.75" customHeight="1">
      <c r="A6" s="1441"/>
      <c r="B6" s="1471"/>
      <c r="C6" s="1471"/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  <c r="Q6" s="1471"/>
      <c r="R6" s="1471"/>
      <c r="S6" s="1471"/>
      <c r="T6" s="1471"/>
      <c r="U6" s="1441"/>
    </row>
    <row r="7" spans="1:21" ht="3" customHeight="1">
      <c r="A7" s="1441"/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41"/>
    </row>
    <row r="8" spans="1:21" ht="17.25" customHeight="1">
      <c r="A8" s="1441"/>
      <c r="B8" s="1472">
        <f>'A.LAP'!A5</f>
        <v>2012</v>
      </c>
      <c r="C8" s="1472"/>
      <c r="D8" s="1435" t="s">
        <v>619</v>
      </c>
      <c r="E8" s="1436"/>
      <c r="F8" s="1436"/>
      <c r="G8" s="1436"/>
      <c r="H8" s="1436"/>
      <c r="I8" s="1436"/>
      <c r="J8" s="1437" t="str">
        <f>'A.LAP'!D5</f>
        <v>Szabadszállás</v>
      </c>
      <c r="K8" s="1437"/>
      <c r="L8" s="1437"/>
      <c r="M8" s="504" t="s">
        <v>620</v>
      </c>
      <c r="N8" s="503"/>
      <c r="O8" s="503"/>
      <c r="P8" s="503"/>
      <c r="Q8" s="503"/>
      <c r="R8" s="503"/>
      <c r="S8" s="503"/>
      <c r="T8" s="505"/>
      <c r="U8" s="1441"/>
    </row>
    <row r="9" spans="1:21" ht="18" customHeight="1">
      <c r="A9" s="1441"/>
      <c r="B9" s="1438" t="s">
        <v>621</v>
      </c>
      <c r="C9" s="1439"/>
      <c r="D9" s="1439"/>
      <c r="E9" s="1439"/>
      <c r="F9" s="1439"/>
      <c r="G9" s="1439"/>
      <c r="H9" s="1439"/>
      <c r="I9" s="1439"/>
      <c r="J9" s="1439"/>
      <c r="K9" s="1439"/>
      <c r="L9" s="1439"/>
      <c r="M9" s="1439"/>
      <c r="N9" s="1439"/>
      <c r="O9" s="1439"/>
      <c r="P9" s="1439"/>
      <c r="Q9" s="1439"/>
      <c r="R9" s="1439"/>
      <c r="S9" s="1439"/>
      <c r="T9" s="1440"/>
      <c r="U9" s="1441"/>
    </row>
    <row r="10" spans="1:21" ht="23.25" customHeight="1">
      <c r="A10" s="1441"/>
      <c r="B10" s="1462" t="s">
        <v>622</v>
      </c>
      <c r="C10" s="1462"/>
      <c r="D10" s="1462"/>
      <c r="E10" s="1462"/>
      <c r="F10" s="1462"/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  <c r="U10" s="1441"/>
    </row>
    <row r="11" spans="1:21" ht="18" customHeight="1">
      <c r="A11" s="1441"/>
      <c r="B11" s="1463" t="s">
        <v>401</v>
      </c>
      <c r="C11" s="1464"/>
      <c r="D11" s="1464"/>
      <c r="E11" s="1464"/>
      <c r="F11" s="1464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7"/>
      <c r="U11" s="1441"/>
    </row>
    <row r="12" spans="1:21" ht="21" customHeight="1">
      <c r="A12" s="1441"/>
      <c r="B12" s="1468" t="s">
        <v>402</v>
      </c>
      <c r="C12" s="1468"/>
      <c r="D12" s="1468"/>
      <c r="E12" s="1468"/>
      <c r="F12" s="1468"/>
      <c r="G12" s="1473">
        <f>'A.LAP'!A12</f>
        <v>0</v>
      </c>
      <c r="H12" s="1474"/>
      <c r="I12" s="1474"/>
      <c r="J12" s="1474"/>
      <c r="K12" s="1474"/>
      <c r="L12" s="1474"/>
      <c r="M12" s="1474"/>
      <c r="N12" s="1474"/>
      <c r="O12" s="1474"/>
      <c r="P12" s="1474"/>
      <c r="Q12" s="1474"/>
      <c r="R12" s="1474"/>
      <c r="S12" s="508"/>
      <c r="T12" s="509"/>
      <c r="U12" s="1441"/>
    </row>
    <row r="13" spans="1:21" ht="21.75" customHeight="1">
      <c r="A13" s="1441"/>
      <c r="B13" s="1468" t="s">
        <v>403</v>
      </c>
      <c r="C13" s="1468"/>
      <c r="D13" s="1468"/>
      <c r="E13" s="1468"/>
      <c r="F13" s="1468"/>
      <c r="G13" s="1466">
        <f>'A.LAP'!C13</f>
        <v>0</v>
      </c>
      <c r="H13" s="1466"/>
      <c r="I13" s="1466"/>
      <c r="J13" s="1466"/>
      <c r="K13" s="1469">
        <f>'A.LAP'!E14</f>
      </c>
      <c r="L13" s="1469"/>
      <c r="M13" s="1469"/>
      <c r="N13" s="1469"/>
      <c r="O13" s="1465"/>
      <c r="P13" s="1465"/>
      <c r="Q13" s="1465"/>
      <c r="R13" s="1465"/>
      <c r="S13" s="497"/>
      <c r="T13" s="509"/>
      <c r="U13" s="1441"/>
    </row>
    <row r="14" spans="1:21" ht="5.25" customHeight="1">
      <c r="A14" s="1441"/>
      <c r="B14" s="1460"/>
      <c r="C14" s="1460"/>
      <c r="D14" s="1460"/>
      <c r="E14" s="1460"/>
      <c r="F14" s="1460"/>
      <c r="G14" s="1460"/>
      <c r="H14" s="1460"/>
      <c r="I14" s="1460"/>
      <c r="J14" s="1460"/>
      <c r="K14" s="1460"/>
      <c r="L14" s="1460"/>
      <c r="M14" s="1460"/>
      <c r="N14" s="1460"/>
      <c r="O14" s="1460"/>
      <c r="P14" s="1460"/>
      <c r="Q14" s="1460"/>
      <c r="R14" s="1460"/>
      <c r="S14" s="1460"/>
      <c r="T14" s="1460"/>
      <c r="U14" s="1441"/>
    </row>
    <row r="15" spans="1:21" ht="9" customHeight="1">
      <c r="A15" s="1441"/>
      <c r="B15" s="497"/>
      <c r="C15" s="497"/>
      <c r="D15" s="497"/>
      <c r="E15" s="510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1441"/>
    </row>
    <row r="16" spans="1:21" ht="12.75" customHeight="1" hidden="1">
      <c r="A16" s="1441"/>
      <c r="B16" s="497"/>
      <c r="C16" s="497"/>
      <c r="D16" s="497"/>
      <c r="E16" s="510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1441"/>
    </row>
    <row r="17" spans="1:21" ht="12" customHeight="1">
      <c r="A17" s="1441"/>
      <c r="B17" s="1467" t="s">
        <v>404</v>
      </c>
      <c r="C17" s="1467"/>
      <c r="D17" s="1467"/>
      <c r="E17" s="1467"/>
      <c r="F17" s="1467"/>
      <c r="G17" s="1467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11"/>
      <c r="U17" s="1441"/>
    </row>
    <row r="18" spans="1:21" ht="3.75" customHeight="1">
      <c r="A18" s="1441"/>
      <c r="B18" s="899"/>
      <c r="C18" s="851"/>
      <c r="D18" s="851"/>
      <c r="E18" s="851"/>
      <c r="F18" s="851"/>
      <c r="G18" s="851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513"/>
      <c r="U18" s="1441"/>
    </row>
    <row r="19" spans="1:22" ht="15" customHeight="1">
      <c r="A19" s="1441"/>
      <c r="B19" s="512"/>
      <c r="C19" s="497"/>
      <c r="D19" s="515"/>
      <c r="E19" s="518"/>
      <c r="F19" s="237" t="s">
        <v>623</v>
      </c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513"/>
      <c r="U19" s="1441"/>
      <c r="V19" s="202">
        <f>IF(D19="",0,1)</f>
        <v>0</v>
      </c>
    </row>
    <row r="20" spans="1:21" ht="3" customHeight="1">
      <c r="A20" s="1441"/>
      <c r="B20" s="512"/>
      <c r="C20" s="497"/>
      <c r="D20" s="497"/>
      <c r="E20" s="510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513"/>
      <c r="U20" s="1441"/>
    </row>
    <row r="21" spans="1:22" ht="13.5" customHeight="1">
      <c r="A21" s="1441"/>
      <c r="B21" s="514"/>
      <c r="C21" s="497"/>
      <c r="D21" s="515"/>
      <c r="E21" s="516"/>
      <c r="F21" s="1457" t="s">
        <v>624</v>
      </c>
      <c r="G21" s="1457"/>
      <c r="H21" s="1457"/>
      <c r="I21" s="1457"/>
      <c r="J21" s="1457"/>
      <c r="K21" s="1457"/>
      <c r="L21" s="1457"/>
      <c r="M21" s="1457"/>
      <c r="N21" s="1457"/>
      <c r="O21" s="1457"/>
      <c r="P21" s="1457"/>
      <c r="Q21" s="1457"/>
      <c r="R21" s="1457"/>
      <c r="S21" s="1457"/>
      <c r="T21" s="1457"/>
      <c r="U21" s="1441"/>
      <c r="V21" s="202">
        <f>IF(D21="",0,1)</f>
        <v>0</v>
      </c>
    </row>
    <row r="22" spans="1:21" ht="3.75" customHeight="1">
      <c r="A22" s="1441"/>
      <c r="B22" s="514"/>
      <c r="C22" s="497"/>
      <c r="D22" s="497"/>
      <c r="E22" s="510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513"/>
      <c r="U22" s="1441"/>
    </row>
    <row r="23" spans="1:22" ht="14.25" customHeight="1">
      <c r="A23" s="1441"/>
      <c r="B23" s="514"/>
      <c r="C23" s="497"/>
      <c r="D23" s="515"/>
      <c r="E23" s="516"/>
      <c r="F23" s="1458" t="s">
        <v>406</v>
      </c>
      <c r="G23" s="1458"/>
      <c r="H23" s="1444"/>
      <c r="I23" s="1444"/>
      <c r="J23" s="1456" t="s">
        <v>405</v>
      </c>
      <c r="K23" s="1456"/>
      <c r="L23" s="1456"/>
      <c r="M23" s="1456"/>
      <c r="N23" s="1456"/>
      <c r="O23" s="1456"/>
      <c r="P23" s="1456"/>
      <c r="Q23" s="1456"/>
      <c r="R23" s="1456"/>
      <c r="S23" s="1456"/>
      <c r="T23" s="1456"/>
      <c r="U23" s="1441"/>
      <c r="V23" s="202">
        <f>IF(D23="",0,1)</f>
        <v>0</v>
      </c>
    </row>
    <row r="24" spans="1:21" ht="3" customHeight="1">
      <c r="A24" s="1441"/>
      <c r="B24" s="514"/>
      <c r="C24" s="497"/>
      <c r="D24" s="497"/>
      <c r="E24" s="510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513"/>
      <c r="U24" s="1441"/>
    </row>
    <row r="25" spans="1:22" ht="15.75" customHeight="1">
      <c r="A25" s="1441"/>
      <c r="B25" s="514"/>
      <c r="C25" s="497"/>
      <c r="D25" s="515"/>
      <c r="E25" s="516"/>
      <c r="F25" s="1458" t="s">
        <v>410</v>
      </c>
      <c r="G25" s="1458"/>
      <c r="H25" s="1444"/>
      <c r="I25" s="1444"/>
      <c r="J25" s="1455" t="s">
        <v>407</v>
      </c>
      <c r="K25" s="1455"/>
      <c r="L25" s="1455"/>
      <c r="M25" s="1444"/>
      <c r="N25" s="1444"/>
      <c r="O25" s="497"/>
      <c r="P25" s="1456" t="s">
        <v>408</v>
      </c>
      <c r="Q25" s="1456"/>
      <c r="R25" s="1456"/>
      <c r="S25" s="1456"/>
      <c r="T25" s="1456"/>
      <c r="U25" s="1441"/>
      <c r="V25" s="202">
        <f>IF(D25="",0,1)</f>
        <v>0</v>
      </c>
    </row>
    <row r="26" spans="1:21" s="201" customFormat="1" ht="12" customHeight="1">
      <c r="A26" s="1441"/>
      <c r="B26" s="512"/>
      <c r="C26" s="497"/>
      <c r="D26" s="497"/>
      <c r="E26" s="510"/>
      <c r="F26" s="1457" t="s">
        <v>409</v>
      </c>
      <c r="G26" s="1457"/>
      <c r="H26" s="1457"/>
      <c r="I26" s="1457"/>
      <c r="J26" s="1457"/>
      <c r="K26" s="1457"/>
      <c r="L26" s="1457"/>
      <c r="M26" s="1457"/>
      <c r="N26" s="1457"/>
      <c r="O26" s="1457"/>
      <c r="P26" s="1457"/>
      <c r="Q26" s="1457"/>
      <c r="R26" s="1457"/>
      <c r="S26" s="1457"/>
      <c r="T26" s="1457"/>
      <c r="U26" s="1441"/>
    </row>
    <row r="27" spans="1:21" s="201" customFormat="1" ht="1.5" customHeight="1">
      <c r="A27" s="1441"/>
      <c r="B27" s="512"/>
      <c r="C27" s="497"/>
      <c r="D27" s="497"/>
      <c r="E27" s="510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513"/>
      <c r="U27" s="1441"/>
    </row>
    <row r="28" spans="1:22" s="201" customFormat="1" ht="15" customHeight="1">
      <c r="A28" s="1441"/>
      <c r="B28" s="512"/>
      <c r="C28" s="497"/>
      <c r="D28" s="515"/>
      <c r="E28" s="516"/>
      <c r="F28" s="1137" t="s">
        <v>625</v>
      </c>
      <c r="G28" s="1137"/>
      <c r="H28" s="1444"/>
      <c r="I28" s="1444"/>
      <c r="J28" s="1456" t="s">
        <v>411</v>
      </c>
      <c r="K28" s="1456"/>
      <c r="L28" s="1456"/>
      <c r="M28" s="1456"/>
      <c r="N28" s="1456"/>
      <c r="O28" s="1456"/>
      <c r="P28" s="1456"/>
      <c r="Q28" s="1456"/>
      <c r="R28" s="1456"/>
      <c r="S28" s="1456"/>
      <c r="T28" s="1456"/>
      <c r="U28" s="1441"/>
      <c r="V28" s="202">
        <f>IF(D28="",0,1)</f>
        <v>0</v>
      </c>
    </row>
    <row r="29" spans="1:21" s="201" customFormat="1" ht="12" customHeight="1">
      <c r="A29" s="1441"/>
      <c r="B29" s="512"/>
      <c r="C29" s="497"/>
      <c r="D29" s="518"/>
      <c r="E29" s="518"/>
      <c r="F29" s="237" t="s">
        <v>412</v>
      </c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513"/>
      <c r="U29" s="1441"/>
    </row>
    <row r="30" spans="1:21" s="201" customFormat="1" ht="3" customHeight="1">
      <c r="A30" s="1441"/>
      <c r="B30" s="512"/>
      <c r="C30" s="497"/>
      <c r="D30" s="518"/>
      <c r="E30" s="518"/>
      <c r="F30" s="23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513"/>
      <c r="U30" s="1441"/>
    </row>
    <row r="31" spans="1:22" s="201" customFormat="1" ht="18" customHeight="1">
      <c r="A31" s="1441"/>
      <c r="B31" s="512"/>
      <c r="C31" s="497"/>
      <c r="D31" s="515"/>
      <c r="E31" s="518"/>
      <c r="F31" s="237" t="s">
        <v>626</v>
      </c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513"/>
      <c r="U31" s="1441"/>
      <c r="V31" s="202">
        <f>IF(D31="",0,1)</f>
        <v>0</v>
      </c>
    </row>
    <row r="32" spans="1:21" s="201" customFormat="1" ht="9" customHeight="1">
      <c r="A32" s="1441"/>
      <c r="B32" s="519"/>
      <c r="C32" s="520"/>
      <c r="D32" s="521"/>
      <c r="E32" s="521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2"/>
      <c r="U32" s="1441"/>
    </row>
    <row r="33" spans="1:21" s="201" customFormat="1" ht="12.75" customHeight="1" hidden="1">
      <c r="A33" s="1441"/>
      <c r="B33" s="497"/>
      <c r="C33" s="497"/>
      <c r="D33" s="497"/>
      <c r="E33" s="510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1441"/>
    </row>
    <row r="34" spans="1:21" ht="3.75" customHeight="1">
      <c r="A34" s="1441"/>
      <c r="B34" s="1459"/>
      <c r="C34" s="1459"/>
      <c r="D34" s="1459"/>
      <c r="E34" s="1459"/>
      <c r="F34" s="1459"/>
      <c r="G34" s="1459"/>
      <c r="H34" s="1459"/>
      <c r="I34" s="1459"/>
      <c r="J34" s="1459"/>
      <c r="K34" s="1459"/>
      <c r="L34" s="1459"/>
      <c r="M34" s="1459"/>
      <c r="N34" s="1459"/>
      <c r="O34" s="1459"/>
      <c r="P34" s="1459"/>
      <c r="Q34" s="1459"/>
      <c r="R34" s="1459"/>
      <c r="S34" s="1459"/>
      <c r="T34" s="1459"/>
      <c r="U34" s="1441"/>
    </row>
    <row r="35" spans="1:21" ht="12.75" customHeight="1" hidden="1">
      <c r="A35" s="1441"/>
      <c r="B35" s="1451"/>
      <c r="C35" s="1451"/>
      <c r="D35" s="1451"/>
      <c r="E35" s="1451"/>
      <c r="F35" s="1451"/>
      <c r="G35" s="1451"/>
      <c r="H35" s="1451"/>
      <c r="I35" s="1451"/>
      <c r="J35" s="1451"/>
      <c r="K35" s="1451"/>
      <c r="L35" s="1451"/>
      <c r="M35" s="1451"/>
      <c r="N35" s="1451"/>
      <c r="O35" s="1451"/>
      <c r="P35" s="1451"/>
      <c r="Q35" s="1451"/>
      <c r="R35" s="1451"/>
      <c r="S35" s="1451"/>
      <c r="T35" s="1451"/>
      <c r="U35" s="1441"/>
    </row>
    <row r="36" spans="1:21" ht="18" customHeight="1">
      <c r="A36" s="1441"/>
      <c r="B36" s="1451" t="s">
        <v>396</v>
      </c>
      <c r="C36" s="1451"/>
      <c r="D36" s="1451"/>
      <c r="E36" s="1451"/>
      <c r="F36" s="1451"/>
      <c r="G36" s="1451"/>
      <c r="H36" s="1451"/>
      <c r="I36" s="1451"/>
      <c r="J36" s="1451"/>
      <c r="K36" s="1451"/>
      <c r="L36" s="1451"/>
      <c r="M36" s="1451"/>
      <c r="N36" s="1451"/>
      <c r="O36" s="1451"/>
      <c r="P36" s="1451"/>
      <c r="Q36" s="1451"/>
      <c r="R36" s="1451"/>
      <c r="S36" s="1451"/>
      <c r="T36" s="1451"/>
      <c r="U36" s="1441"/>
    </row>
    <row r="37" spans="1:32" ht="44.25" customHeight="1">
      <c r="A37" s="1441"/>
      <c r="B37" s="523" t="s">
        <v>413</v>
      </c>
      <c r="C37" s="1452" t="s">
        <v>414</v>
      </c>
      <c r="D37" s="1452"/>
      <c r="E37" s="1452"/>
      <c r="F37" s="1452"/>
      <c r="G37" s="1452"/>
      <c r="H37" s="1453" t="s">
        <v>415</v>
      </c>
      <c r="I37" s="1453"/>
      <c r="J37" s="1453"/>
      <c r="K37" s="1453"/>
      <c r="L37" s="1453" t="s">
        <v>416</v>
      </c>
      <c r="M37" s="1453"/>
      <c r="N37" s="1453"/>
      <c r="O37" s="1453"/>
      <c r="P37" s="1454" t="s">
        <v>417</v>
      </c>
      <c r="Q37" s="1454"/>
      <c r="R37" s="1454"/>
      <c r="S37" s="1454"/>
      <c r="T37" s="524" t="s">
        <v>418</v>
      </c>
      <c r="U37" s="1441"/>
      <c r="AC37" s="1450"/>
      <c r="AD37" s="1450"/>
      <c r="AE37" s="1450"/>
      <c r="AF37" s="1450"/>
    </row>
    <row r="38" spans="1:26" ht="18" customHeight="1">
      <c r="A38" s="1441"/>
      <c r="B38" s="525" t="s">
        <v>241</v>
      </c>
      <c r="C38" s="1445"/>
      <c r="D38" s="1445"/>
      <c r="E38" s="1445"/>
      <c r="F38" s="1445"/>
      <c r="G38" s="1445"/>
      <c r="H38" s="1443"/>
      <c r="I38" s="1443"/>
      <c r="J38" s="1443"/>
      <c r="K38" s="1443"/>
      <c r="L38" s="1448"/>
      <c r="M38" s="1448"/>
      <c r="N38" s="1448"/>
      <c r="O38" s="1448"/>
      <c r="P38" s="1449"/>
      <c r="Q38" s="1449"/>
      <c r="R38" s="1449"/>
      <c r="S38" s="1449"/>
      <c r="T38" s="517">
        <v>1</v>
      </c>
      <c r="U38" s="1441"/>
      <c r="V38" s="202">
        <f>IF(C38="",0,1)</f>
        <v>0</v>
      </c>
      <c r="W38" s="202">
        <f>IF(H38="",0,1)</f>
        <v>0</v>
      </c>
      <c r="X38" s="202">
        <f>IF(L38="",0,1)</f>
        <v>0</v>
      </c>
      <c r="Y38" s="202">
        <f>IF(P38="",0,1)</f>
        <v>0</v>
      </c>
      <c r="Z38" s="202">
        <f>SUM(V38:Y38)</f>
        <v>0</v>
      </c>
    </row>
    <row r="39" spans="1:26" ht="18" customHeight="1">
      <c r="A39" s="1441"/>
      <c r="B39" s="525" t="s">
        <v>243</v>
      </c>
      <c r="C39" s="1445"/>
      <c r="D39" s="1445"/>
      <c r="E39" s="1445"/>
      <c r="F39" s="1445"/>
      <c r="G39" s="1445"/>
      <c r="H39" s="1443"/>
      <c r="I39" s="1443"/>
      <c r="J39" s="1443"/>
      <c r="K39" s="1443"/>
      <c r="L39" s="1448"/>
      <c r="M39" s="1448"/>
      <c r="N39" s="1448"/>
      <c r="O39" s="1448"/>
      <c r="P39" s="1449"/>
      <c r="Q39" s="1449"/>
      <c r="R39" s="1449"/>
      <c r="S39" s="1449"/>
      <c r="T39" s="517"/>
      <c r="U39" s="1441"/>
      <c r="V39" s="202">
        <f aca="true" t="shared" si="0" ref="V39:V49">IF(C39="",0,1)</f>
        <v>0</v>
      </c>
      <c r="W39" s="202">
        <f aca="true" t="shared" si="1" ref="W39:W49">IF(H39="",0,1)</f>
        <v>0</v>
      </c>
      <c r="X39" s="202">
        <f aca="true" t="shared" si="2" ref="X39:X49">IF(L39="",0,1)</f>
        <v>0</v>
      </c>
      <c r="Y39" s="202">
        <f aca="true" t="shared" si="3" ref="Y39:Y49">IF(P39="",0,1)</f>
        <v>0</v>
      </c>
      <c r="Z39" s="202">
        <f aca="true" t="shared" si="4" ref="Z39:Z49">SUM(V39:Y39)</f>
        <v>0</v>
      </c>
    </row>
    <row r="40" spans="1:26" ht="18" customHeight="1">
      <c r="A40" s="1441"/>
      <c r="B40" s="525" t="s">
        <v>245</v>
      </c>
      <c r="C40" s="1442"/>
      <c r="D40" s="1442"/>
      <c r="E40" s="1442"/>
      <c r="F40" s="1442"/>
      <c r="G40" s="1442"/>
      <c r="H40" s="1443"/>
      <c r="I40" s="1443"/>
      <c r="J40" s="1443"/>
      <c r="K40" s="1443"/>
      <c r="L40" s="1448"/>
      <c r="M40" s="1448"/>
      <c r="N40" s="1448"/>
      <c r="O40" s="1448"/>
      <c r="P40" s="1449"/>
      <c r="Q40" s="1449"/>
      <c r="R40" s="1449"/>
      <c r="S40" s="1449"/>
      <c r="T40" s="517"/>
      <c r="U40" s="1441"/>
      <c r="V40" s="202">
        <f t="shared" si="0"/>
        <v>0</v>
      </c>
      <c r="W40" s="202">
        <f t="shared" si="1"/>
        <v>0</v>
      </c>
      <c r="X40" s="202">
        <f t="shared" si="2"/>
        <v>0</v>
      </c>
      <c r="Y40" s="202">
        <f t="shared" si="3"/>
        <v>0</v>
      </c>
      <c r="Z40" s="202">
        <f t="shared" si="4"/>
        <v>0</v>
      </c>
    </row>
    <row r="41" spans="1:26" ht="18" customHeight="1">
      <c r="A41" s="1441"/>
      <c r="B41" s="525" t="s">
        <v>247</v>
      </c>
      <c r="C41" s="1445"/>
      <c r="D41" s="1445"/>
      <c r="E41" s="1445"/>
      <c r="F41" s="1445"/>
      <c r="G41" s="1445"/>
      <c r="H41" s="1443"/>
      <c r="I41" s="1443"/>
      <c r="J41" s="1443"/>
      <c r="K41" s="1443"/>
      <c r="L41" s="1448"/>
      <c r="M41" s="1448"/>
      <c r="N41" s="1448"/>
      <c r="O41" s="1448"/>
      <c r="P41" s="1449"/>
      <c r="Q41" s="1449"/>
      <c r="R41" s="1449"/>
      <c r="S41" s="1449"/>
      <c r="T41" s="517"/>
      <c r="U41" s="1441"/>
      <c r="V41" s="202">
        <f t="shared" si="0"/>
        <v>0</v>
      </c>
      <c r="W41" s="202">
        <f t="shared" si="1"/>
        <v>0</v>
      </c>
      <c r="X41" s="202">
        <f t="shared" si="2"/>
        <v>0</v>
      </c>
      <c r="Y41" s="202">
        <f t="shared" si="3"/>
        <v>0</v>
      </c>
      <c r="Z41" s="202">
        <f t="shared" si="4"/>
        <v>0</v>
      </c>
    </row>
    <row r="42" spans="1:26" ht="18" customHeight="1">
      <c r="A42" s="1441"/>
      <c r="B42" s="525" t="s">
        <v>248</v>
      </c>
      <c r="C42" s="1442"/>
      <c r="D42" s="1442"/>
      <c r="E42" s="1442"/>
      <c r="F42" s="1442"/>
      <c r="G42" s="1442"/>
      <c r="H42" s="1443"/>
      <c r="I42" s="1443"/>
      <c r="J42" s="1443"/>
      <c r="K42" s="1443"/>
      <c r="L42" s="1448"/>
      <c r="M42" s="1448"/>
      <c r="N42" s="1448"/>
      <c r="O42" s="1448"/>
      <c r="P42" s="1449"/>
      <c r="Q42" s="1449"/>
      <c r="R42" s="1449"/>
      <c r="S42" s="1449"/>
      <c r="T42" s="517"/>
      <c r="U42" s="1441"/>
      <c r="V42" s="202">
        <f t="shared" si="0"/>
        <v>0</v>
      </c>
      <c r="W42" s="202">
        <f t="shared" si="1"/>
        <v>0</v>
      </c>
      <c r="X42" s="202">
        <f t="shared" si="2"/>
        <v>0</v>
      </c>
      <c r="Y42" s="202">
        <f t="shared" si="3"/>
        <v>0</v>
      </c>
      <c r="Z42" s="202">
        <f t="shared" si="4"/>
        <v>0</v>
      </c>
    </row>
    <row r="43" spans="1:26" ht="12.75" customHeight="1" hidden="1">
      <c r="A43" s="1441"/>
      <c r="B43" s="526" t="s">
        <v>419</v>
      </c>
      <c r="C43" s="1445"/>
      <c r="D43" s="1445"/>
      <c r="E43" s="1445"/>
      <c r="F43" s="1445"/>
      <c r="G43" s="1445"/>
      <c r="H43" s="1443"/>
      <c r="I43" s="1443"/>
      <c r="J43" s="1443"/>
      <c r="K43" s="1443"/>
      <c r="L43" s="1443"/>
      <c r="M43" s="1443"/>
      <c r="N43" s="1443"/>
      <c r="O43" s="1443"/>
      <c r="P43" s="1444"/>
      <c r="Q43" s="1444"/>
      <c r="R43" s="1444"/>
      <c r="S43" s="1444"/>
      <c r="T43" s="1444"/>
      <c r="U43" s="1441"/>
      <c r="V43" s="202">
        <f t="shared" si="0"/>
        <v>0</v>
      </c>
      <c r="W43" s="202">
        <f t="shared" si="1"/>
        <v>0</v>
      </c>
      <c r="X43" s="202">
        <f t="shared" si="2"/>
        <v>0</v>
      </c>
      <c r="Y43" s="202">
        <f t="shared" si="3"/>
        <v>0</v>
      </c>
      <c r="Z43" s="202">
        <f t="shared" si="4"/>
        <v>0</v>
      </c>
    </row>
    <row r="44" spans="1:26" ht="12.75" customHeight="1" hidden="1">
      <c r="A44" s="1441"/>
      <c r="B44" s="527" t="s">
        <v>420</v>
      </c>
      <c r="C44" s="1442"/>
      <c r="D44" s="1442"/>
      <c r="E44" s="1442"/>
      <c r="F44" s="1442"/>
      <c r="G44" s="1442"/>
      <c r="H44" s="1443"/>
      <c r="I44" s="1443"/>
      <c r="J44" s="1443"/>
      <c r="K44" s="1443"/>
      <c r="L44" s="1443"/>
      <c r="M44" s="1443"/>
      <c r="N44" s="1443"/>
      <c r="O44" s="1443"/>
      <c r="P44" s="1444"/>
      <c r="Q44" s="1444"/>
      <c r="R44" s="1444"/>
      <c r="S44" s="1444"/>
      <c r="T44" s="1444"/>
      <c r="U44" s="1441"/>
      <c r="V44" s="202">
        <f t="shared" si="0"/>
        <v>0</v>
      </c>
      <c r="W44" s="202">
        <f t="shared" si="1"/>
        <v>0</v>
      </c>
      <c r="X44" s="202">
        <f t="shared" si="2"/>
        <v>0</v>
      </c>
      <c r="Y44" s="202">
        <f t="shared" si="3"/>
        <v>0</v>
      </c>
      <c r="Z44" s="202">
        <f t="shared" si="4"/>
        <v>0</v>
      </c>
    </row>
    <row r="45" spans="1:26" ht="12.75" customHeight="1" hidden="1">
      <c r="A45" s="1441"/>
      <c r="B45" s="526" t="s">
        <v>421</v>
      </c>
      <c r="C45" s="1445"/>
      <c r="D45" s="1445"/>
      <c r="E45" s="1445"/>
      <c r="F45" s="1445"/>
      <c r="G45" s="1445"/>
      <c r="H45" s="1443"/>
      <c r="I45" s="1443"/>
      <c r="J45" s="1443"/>
      <c r="K45" s="1443"/>
      <c r="L45" s="1443"/>
      <c r="M45" s="1443"/>
      <c r="N45" s="1443"/>
      <c r="O45" s="1443"/>
      <c r="P45" s="1444"/>
      <c r="Q45" s="1444"/>
      <c r="R45" s="1444"/>
      <c r="S45" s="1444"/>
      <c r="T45" s="1444"/>
      <c r="U45" s="1441"/>
      <c r="V45" s="202">
        <f t="shared" si="0"/>
        <v>0</v>
      </c>
      <c r="W45" s="202">
        <f t="shared" si="1"/>
        <v>0</v>
      </c>
      <c r="X45" s="202">
        <f t="shared" si="2"/>
        <v>0</v>
      </c>
      <c r="Y45" s="202">
        <f t="shared" si="3"/>
        <v>0</v>
      </c>
      <c r="Z45" s="202">
        <f t="shared" si="4"/>
        <v>0</v>
      </c>
    </row>
    <row r="46" spans="1:26" ht="12.75" customHeight="1" hidden="1">
      <c r="A46" s="1441"/>
      <c r="B46" s="527" t="s">
        <v>422</v>
      </c>
      <c r="C46" s="1442"/>
      <c r="D46" s="1442"/>
      <c r="E46" s="1442"/>
      <c r="F46" s="1442"/>
      <c r="G46" s="1442"/>
      <c r="H46" s="1443"/>
      <c r="I46" s="1443"/>
      <c r="J46" s="1443"/>
      <c r="K46" s="1443"/>
      <c r="L46" s="1443"/>
      <c r="M46" s="1443"/>
      <c r="N46" s="1443"/>
      <c r="O46" s="1443"/>
      <c r="P46" s="1444"/>
      <c r="Q46" s="1444"/>
      <c r="R46" s="1444"/>
      <c r="S46" s="1444"/>
      <c r="T46" s="1444"/>
      <c r="U46" s="1441"/>
      <c r="V46" s="202">
        <f t="shared" si="0"/>
        <v>0</v>
      </c>
      <c r="W46" s="202">
        <f t="shared" si="1"/>
        <v>0</v>
      </c>
      <c r="X46" s="202">
        <f t="shared" si="2"/>
        <v>0</v>
      </c>
      <c r="Y46" s="202">
        <f t="shared" si="3"/>
        <v>0</v>
      </c>
      <c r="Z46" s="202">
        <f t="shared" si="4"/>
        <v>0</v>
      </c>
    </row>
    <row r="47" spans="1:26" ht="12.75" customHeight="1" hidden="1">
      <c r="A47" s="1441"/>
      <c r="B47" s="526" t="s">
        <v>261</v>
      </c>
      <c r="C47" s="1445"/>
      <c r="D47" s="1445"/>
      <c r="E47" s="1445"/>
      <c r="F47" s="1445"/>
      <c r="G47" s="1445"/>
      <c r="H47" s="1443"/>
      <c r="I47" s="1443"/>
      <c r="J47" s="1443"/>
      <c r="K47" s="1443"/>
      <c r="L47" s="1443"/>
      <c r="M47" s="1443"/>
      <c r="N47" s="1443"/>
      <c r="O47" s="1443"/>
      <c r="P47" s="1444"/>
      <c r="Q47" s="1444"/>
      <c r="R47" s="1444"/>
      <c r="S47" s="1444"/>
      <c r="T47" s="1444"/>
      <c r="U47" s="1441"/>
      <c r="V47" s="202">
        <f t="shared" si="0"/>
        <v>0</v>
      </c>
      <c r="W47" s="202">
        <f t="shared" si="1"/>
        <v>0</v>
      </c>
      <c r="X47" s="202">
        <f t="shared" si="2"/>
        <v>0</v>
      </c>
      <c r="Y47" s="202">
        <f t="shared" si="3"/>
        <v>0</v>
      </c>
      <c r="Z47" s="202">
        <f t="shared" si="4"/>
        <v>0</v>
      </c>
    </row>
    <row r="48" spans="1:26" ht="12.75" customHeight="1" hidden="1">
      <c r="A48" s="1441"/>
      <c r="B48" s="527" t="s">
        <v>262</v>
      </c>
      <c r="C48" s="1442"/>
      <c r="D48" s="1442"/>
      <c r="E48" s="1442"/>
      <c r="F48" s="1442"/>
      <c r="G48" s="1442"/>
      <c r="H48" s="1443"/>
      <c r="I48" s="1443"/>
      <c r="J48" s="1443"/>
      <c r="K48" s="1443"/>
      <c r="L48" s="1443"/>
      <c r="M48" s="1443"/>
      <c r="N48" s="1443"/>
      <c r="O48" s="1443"/>
      <c r="P48" s="1444"/>
      <c r="Q48" s="1444"/>
      <c r="R48" s="1444"/>
      <c r="S48" s="1444"/>
      <c r="T48" s="1444"/>
      <c r="U48" s="1441"/>
      <c r="V48" s="202">
        <f t="shared" si="0"/>
        <v>0</v>
      </c>
      <c r="W48" s="202">
        <f t="shared" si="1"/>
        <v>0</v>
      </c>
      <c r="X48" s="202">
        <f t="shared" si="2"/>
        <v>0</v>
      </c>
      <c r="Y48" s="202">
        <f t="shared" si="3"/>
        <v>0</v>
      </c>
      <c r="Z48" s="202">
        <f t="shared" si="4"/>
        <v>0</v>
      </c>
    </row>
    <row r="49" spans="1:26" ht="12.75" customHeight="1" hidden="1">
      <c r="A49" s="1441"/>
      <c r="B49" s="526" t="s">
        <v>263</v>
      </c>
      <c r="C49" s="1445"/>
      <c r="D49" s="1445"/>
      <c r="E49" s="1445"/>
      <c r="F49" s="1445"/>
      <c r="G49" s="1445"/>
      <c r="H49" s="1443"/>
      <c r="I49" s="1443"/>
      <c r="J49" s="1443"/>
      <c r="K49" s="1443"/>
      <c r="L49" s="1443"/>
      <c r="M49" s="1443"/>
      <c r="N49" s="1443"/>
      <c r="O49" s="1443"/>
      <c r="P49" s="1444"/>
      <c r="Q49" s="1444"/>
      <c r="R49" s="1444"/>
      <c r="S49" s="1444"/>
      <c r="T49" s="1444"/>
      <c r="U49" s="1441"/>
      <c r="V49" s="202">
        <f t="shared" si="0"/>
        <v>0</v>
      </c>
      <c r="W49" s="202">
        <f t="shared" si="1"/>
        <v>0</v>
      </c>
      <c r="X49" s="202">
        <f t="shared" si="2"/>
        <v>0</v>
      </c>
      <c r="Y49" s="202">
        <f t="shared" si="3"/>
        <v>0</v>
      </c>
      <c r="Z49" s="202">
        <f t="shared" si="4"/>
        <v>0</v>
      </c>
    </row>
    <row r="50" spans="1:26" ht="18" customHeight="1">
      <c r="A50" s="1441"/>
      <c r="B50" s="1446"/>
      <c r="C50" s="1446"/>
      <c r="D50" s="1446"/>
      <c r="E50" s="1446"/>
      <c r="F50" s="1446"/>
      <c r="G50" s="1446"/>
      <c r="H50" s="1446"/>
      <c r="I50" s="1446"/>
      <c r="J50" s="1446"/>
      <c r="K50" s="1446"/>
      <c r="L50" s="1446"/>
      <c r="M50" s="1446"/>
      <c r="N50" s="1446"/>
      <c r="O50" s="1446"/>
      <c r="P50" s="1446"/>
      <c r="Q50" s="1446"/>
      <c r="R50" s="1446"/>
      <c r="S50" s="1446"/>
      <c r="T50" s="1446"/>
      <c r="U50" s="1441"/>
      <c r="Z50" s="202">
        <f>SUM(Z38:Z49)+V21+V23+V25+V28+V31+V19</f>
        <v>0</v>
      </c>
    </row>
    <row r="51" spans="1:21" ht="18" customHeight="1">
      <c r="A51" s="1441"/>
      <c r="B51" s="1447" t="s">
        <v>423</v>
      </c>
      <c r="C51" s="1447"/>
      <c r="D51" s="1447"/>
      <c r="E51" s="1447"/>
      <c r="F51" s="1447"/>
      <c r="G51" s="1447"/>
      <c r="H51" s="1447"/>
      <c r="I51" s="1447"/>
      <c r="J51" s="1447"/>
      <c r="K51" s="1447"/>
      <c r="L51" s="1447"/>
      <c r="M51" s="1447"/>
      <c r="N51" s="1447"/>
      <c r="O51" s="1447"/>
      <c r="P51" s="1447"/>
      <c r="Q51" s="1447"/>
      <c r="R51" s="1447"/>
      <c r="S51" s="1447"/>
      <c r="T51" s="1447"/>
      <c r="U51" s="1441"/>
    </row>
    <row r="52" spans="1:21" ht="9" customHeight="1">
      <c r="A52" s="1441"/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1441"/>
    </row>
    <row r="53" spans="1:21" ht="18" customHeight="1">
      <c r="A53" s="1441"/>
      <c r="B53" s="1276" t="str">
        <f>IF('2. oldal'!B81="","",'2. oldal'!B81)</f>
        <v>Szabadszállás</v>
      </c>
      <c r="C53" s="1276"/>
      <c r="D53" s="1276">
        <f>IF('2. oldal'!E81="","",'2. oldal'!E81)</f>
        <v>2013</v>
      </c>
      <c r="E53" s="1276"/>
      <c r="F53" s="529" t="s">
        <v>134</v>
      </c>
      <c r="G53" s="427">
        <f>IF('2. oldal'!H81="","",'2. oldal'!H81)</f>
      </c>
      <c r="H53" s="529" t="s">
        <v>135</v>
      </c>
      <c r="I53" s="427">
        <f>IF('2. oldal'!N81="","",'2. oldal'!N81)</f>
      </c>
      <c r="J53" s="251" t="s">
        <v>210</v>
      </c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1441"/>
    </row>
    <row r="54" spans="1:21" ht="18" customHeight="1">
      <c r="A54" s="1441"/>
      <c r="B54" s="1441"/>
      <c r="C54" s="1441"/>
      <c r="D54" s="1441"/>
      <c r="E54" s="1441"/>
      <c r="F54" s="1441"/>
      <c r="G54" s="1441"/>
      <c r="H54" s="1441"/>
      <c r="I54" s="1441"/>
      <c r="J54" s="1441"/>
      <c r="K54" s="1441"/>
      <c r="L54" s="1441"/>
      <c r="M54" s="1441"/>
      <c r="N54" s="487"/>
      <c r="O54" s="487"/>
      <c r="P54" s="487"/>
      <c r="Q54" s="487"/>
      <c r="R54" s="487"/>
      <c r="S54" s="487"/>
      <c r="T54" s="487"/>
      <c r="U54" s="1441"/>
    </row>
    <row r="55" spans="1:21" ht="18" customHeight="1">
      <c r="A55" s="1441"/>
      <c r="B55" s="1441"/>
      <c r="C55" s="1441"/>
      <c r="D55" s="1441"/>
      <c r="E55" s="1441"/>
      <c r="F55" s="1441"/>
      <c r="G55" s="1441"/>
      <c r="H55" s="1441"/>
      <c r="I55" s="1441"/>
      <c r="J55" s="1441"/>
      <c r="K55" s="1441"/>
      <c r="L55" s="1441"/>
      <c r="M55" s="1441"/>
      <c r="N55" s="1277" t="s">
        <v>424</v>
      </c>
      <c r="O55" s="1277"/>
      <c r="P55" s="1277"/>
      <c r="Q55" s="1277"/>
      <c r="R55" s="1277"/>
      <c r="S55" s="1277"/>
      <c r="T55" s="1277"/>
      <c r="U55" s="1441"/>
    </row>
    <row r="56" spans="1:21" ht="18" customHeight="1">
      <c r="A56" s="1441"/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1441"/>
    </row>
    <row r="57" spans="1:21" ht="18" customHeight="1">
      <c r="A57" s="1441"/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1441"/>
    </row>
    <row r="58" spans="5:20" ht="18" customHeight="1">
      <c r="E58" s="202"/>
      <c r="G58" s="486"/>
      <c r="H58" s="486"/>
      <c r="I58" s="486"/>
      <c r="J58" s="486"/>
      <c r="O58" s="201"/>
      <c r="P58" s="1441"/>
      <c r="Q58" s="1441"/>
      <c r="R58" s="1441"/>
      <c r="S58" s="1441"/>
      <c r="T58" s="1441"/>
    </row>
    <row r="59" spans="2:20" ht="18" customHeight="1">
      <c r="B59" s="201"/>
      <c r="C59" s="201"/>
      <c r="D59" s="201"/>
      <c r="E59" s="53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1441"/>
      <c r="Q59" s="1441"/>
      <c r="R59" s="1441"/>
      <c r="S59" s="1441"/>
      <c r="T59" s="1441"/>
    </row>
    <row r="60" spans="2:20" ht="16.5" customHeight="1">
      <c r="B60" s="201"/>
      <c r="C60" s="201"/>
      <c r="D60" s="201"/>
      <c r="E60" s="53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1441"/>
      <c r="Q60" s="1441"/>
      <c r="R60" s="1441"/>
      <c r="S60" s="1441"/>
      <c r="T60" s="1441"/>
    </row>
    <row r="61" spans="2:20" ht="16.5" customHeight="1">
      <c r="B61" s="201"/>
      <c r="C61" s="201"/>
      <c r="D61" s="201"/>
      <c r="E61" s="53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1441"/>
      <c r="Q61" s="1441"/>
      <c r="R61" s="1441"/>
      <c r="S61" s="1441"/>
      <c r="T61" s="1441"/>
    </row>
    <row r="62" spans="2:20" ht="16.5" customHeight="1">
      <c r="B62" s="201"/>
      <c r="C62" s="201"/>
      <c r="D62" s="201"/>
      <c r="E62" s="53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1441"/>
      <c r="Q62" s="1441"/>
      <c r="R62" s="1441"/>
      <c r="S62" s="1441"/>
      <c r="T62" s="1441"/>
    </row>
  </sheetData>
  <sheetProtection password="C1DD" sheet="1" objects="1" scenarios="1"/>
  <mergeCells count="104">
    <mergeCell ref="A1:A2"/>
    <mergeCell ref="B1:R2"/>
    <mergeCell ref="T1:T2"/>
    <mergeCell ref="A5:A57"/>
    <mergeCell ref="B5:T6"/>
    <mergeCell ref="B7:T7"/>
    <mergeCell ref="B8:C8"/>
    <mergeCell ref="B12:F12"/>
    <mergeCell ref="G12:R12"/>
    <mergeCell ref="F23:G23"/>
    <mergeCell ref="H23:I23"/>
    <mergeCell ref="J23:T23"/>
    <mergeCell ref="O13:R13"/>
    <mergeCell ref="G13:J13"/>
    <mergeCell ref="B17:G17"/>
    <mergeCell ref="F21:T21"/>
    <mergeCell ref="B13:F13"/>
    <mergeCell ref="K13:N13"/>
    <mergeCell ref="B34:T34"/>
    <mergeCell ref="U1:U2"/>
    <mergeCell ref="B14:T14"/>
    <mergeCell ref="B4:T4"/>
    <mergeCell ref="B10:T10"/>
    <mergeCell ref="B11:F11"/>
    <mergeCell ref="U5:U57"/>
    <mergeCell ref="F28:G28"/>
    <mergeCell ref="H28:I28"/>
    <mergeCell ref="J28:T28"/>
    <mergeCell ref="H25:I25"/>
    <mergeCell ref="J25:L25"/>
    <mergeCell ref="P25:T25"/>
    <mergeCell ref="F26:T26"/>
    <mergeCell ref="M25:N25"/>
    <mergeCell ref="F25:G25"/>
    <mergeCell ref="B35:T35"/>
    <mergeCell ref="B36:T36"/>
    <mergeCell ref="C37:G37"/>
    <mergeCell ref="H37:K37"/>
    <mergeCell ref="L37:O37"/>
    <mergeCell ref="P37:S37"/>
    <mergeCell ref="AC37:AF37"/>
    <mergeCell ref="C38:G38"/>
    <mergeCell ref="H38:K38"/>
    <mergeCell ref="L38:O38"/>
    <mergeCell ref="P38:S38"/>
    <mergeCell ref="C39:G39"/>
    <mergeCell ref="H39:K39"/>
    <mergeCell ref="L39:O39"/>
    <mergeCell ref="P39:S39"/>
    <mergeCell ref="C40:G40"/>
    <mergeCell ref="H40:K40"/>
    <mergeCell ref="L40:O40"/>
    <mergeCell ref="P40:S40"/>
    <mergeCell ref="C41:G41"/>
    <mergeCell ref="H41:K41"/>
    <mergeCell ref="L41:O41"/>
    <mergeCell ref="P41:S41"/>
    <mergeCell ref="C42:G42"/>
    <mergeCell ref="H42:K42"/>
    <mergeCell ref="L42:O42"/>
    <mergeCell ref="P42:S42"/>
    <mergeCell ref="C43:G43"/>
    <mergeCell ref="H43:K43"/>
    <mergeCell ref="L43:O43"/>
    <mergeCell ref="P43:T43"/>
    <mergeCell ref="P47:T47"/>
    <mergeCell ref="C44:G44"/>
    <mergeCell ref="H44:K44"/>
    <mergeCell ref="L44:O44"/>
    <mergeCell ref="P44:T44"/>
    <mergeCell ref="C45:G45"/>
    <mergeCell ref="H45:K45"/>
    <mergeCell ref="L45:O45"/>
    <mergeCell ref="P45:T45"/>
    <mergeCell ref="H49:K49"/>
    <mergeCell ref="L49:O49"/>
    <mergeCell ref="P49:T49"/>
    <mergeCell ref="C46:G46"/>
    <mergeCell ref="H46:K46"/>
    <mergeCell ref="L46:O46"/>
    <mergeCell ref="P46:T46"/>
    <mergeCell ref="C47:G47"/>
    <mergeCell ref="H47:K47"/>
    <mergeCell ref="L47:O47"/>
    <mergeCell ref="P61:T61"/>
    <mergeCell ref="P62:T62"/>
    <mergeCell ref="B50:T50"/>
    <mergeCell ref="B51:T51"/>
    <mergeCell ref="B53:C53"/>
    <mergeCell ref="D53:E53"/>
    <mergeCell ref="B54:M54"/>
    <mergeCell ref="B55:M55"/>
    <mergeCell ref="N55:T55"/>
    <mergeCell ref="P58:T58"/>
    <mergeCell ref="D8:I8"/>
    <mergeCell ref="J8:L8"/>
    <mergeCell ref="B9:T9"/>
    <mergeCell ref="P60:T60"/>
    <mergeCell ref="C48:G48"/>
    <mergeCell ref="H48:K48"/>
    <mergeCell ref="L48:O48"/>
    <mergeCell ref="P48:T48"/>
    <mergeCell ref="P59:T59"/>
    <mergeCell ref="C49:G49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7"/>
  <sheetViews>
    <sheetView showGridLines="0" view="pageBreakPreview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7109375" style="250" customWidth="1"/>
    <col min="2" max="2" width="10.421875" style="250" customWidth="1"/>
    <col min="3" max="3" width="20.28125" style="250" customWidth="1"/>
    <col min="4" max="4" width="16.57421875" style="250" customWidth="1"/>
    <col min="5" max="5" width="2.8515625" style="250" customWidth="1"/>
    <col min="6" max="9" width="0" style="250" hidden="1" customWidth="1"/>
    <col min="10" max="10" width="14.57421875" style="250" customWidth="1"/>
    <col min="11" max="11" width="2.8515625" style="250" customWidth="1"/>
    <col min="12" max="12" width="4.00390625" style="250" customWidth="1"/>
    <col min="13" max="13" width="6.00390625" style="250" customWidth="1"/>
    <col min="14" max="18" width="0" style="240" hidden="1" customWidth="1"/>
    <col min="19" max="16384" width="9.140625" style="250" customWidth="1"/>
  </cols>
  <sheetData>
    <row r="1" spans="1:13" ht="16.5">
      <c r="A1" s="1266" t="s">
        <v>370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</row>
    <row r="2" spans="1:13" ht="19.5" hidden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ht="15" hidden="1"/>
    <row r="5" spans="1:13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</row>
    <row r="6" spans="1:18" ht="1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250"/>
      <c r="O6" s="250"/>
      <c r="P6" s="250"/>
      <c r="Q6" s="250"/>
      <c r="R6" s="250"/>
    </row>
    <row r="7" spans="1:18" ht="1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250"/>
      <c r="O7" s="250"/>
      <c r="P7" s="250"/>
      <c r="Q7" s="250"/>
      <c r="R7" s="250"/>
    </row>
    <row r="8" spans="1:13" ht="15">
      <c r="A8" s="1267" t="s">
        <v>627</v>
      </c>
      <c r="B8" s="1267"/>
      <c r="C8" s="1267"/>
      <c r="D8" s="1267"/>
      <c r="E8" s="1267"/>
      <c r="F8" s="1267"/>
      <c r="G8" s="1267"/>
      <c r="H8" s="1267"/>
      <c r="I8" s="1267"/>
      <c r="J8" s="1267"/>
      <c r="K8" s="1267"/>
      <c r="L8" s="1267"/>
      <c r="M8" s="1267"/>
    </row>
    <row r="9" spans="1:13" ht="15">
      <c r="A9" s="1267"/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</row>
    <row r="10" spans="1:13" ht="15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</row>
    <row r="11" spans="1:13" ht="15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2"/>
    </row>
    <row r="12" spans="1:13" ht="15.75">
      <c r="A12" s="1284">
        <f>'1. oldal'!K69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</row>
    <row r="13" spans="1:13" ht="15.75">
      <c r="A13" s="1270" t="s">
        <v>202</v>
      </c>
      <c r="B13" s="1270"/>
      <c r="C13" s="1323">
        <f>IF('1. oldal'!T74="","",'1. oldal'!T74)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</row>
    <row r="14" spans="1:13" ht="15">
      <c r="A14" s="1274" t="s">
        <v>428</v>
      </c>
      <c r="B14" s="1274"/>
      <c r="C14" s="1274"/>
      <c r="D14" s="1274"/>
      <c r="E14" s="1275">
        <f>'A.LAP'!E14</f>
      </c>
      <c r="F14" s="1275"/>
      <c r="G14" s="1275"/>
      <c r="H14" s="1275"/>
      <c r="I14" s="1275"/>
      <c r="J14" s="1275"/>
      <c r="K14" s="1275"/>
      <c r="L14" s="1275"/>
      <c r="M14" s="1275"/>
    </row>
    <row r="15" spans="1:13" ht="15">
      <c r="A15" s="311"/>
      <c r="B15" s="311"/>
      <c r="C15" s="311"/>
      <c r="D15" s="311"/>
      <c r="E15" s="311"/>
      <c r="F15" s="311"/>
      <c r="G15" s="311"/>
      <c r="H15" s="311"/>
      <c r="J15" s="240"/>
      <c r="K15" s="240"/>
      <c r="L15" s="240"/>
      <c r="M15" s="240"/>
    </row>
    <row r="16" spans="1:13" ht="30" customHeight="1">
      <c r="A16" s="1272" t="s">
        <v>364</v>
      </c>
      <c r="B16" s="1272"/>
      <c r="C16" s="1272"/>
      <c r="D16" s="1272"/>
      <c r="E16" s="1272"/>
      <c r="J16" s="669" t="s">
        <v>365</v>
      </c>
      <c r="K16" s="1273" t="s">
        <v>132</v>
      </c>
      <c r="L16" s="1273"/>
      <c r="M16" s="1273"/>
    </row>
    <row r="17" spans="1:17" ht="29.25" customHeight="1">
      <c r="A17" s="474" t="s">
        <v>241</v>
      </c>
      <c r="B17" s="1280" t="s">
        <v>429</v>
      </c>
      <c r="C17" s="1280"/>
      <c r="D17" s="1280"/>
      <c r="E17" s="1280"/>
      <c r="F17" s="319"/>
      <c r="G17" s="319"/>
      <c r="H17" s="319"/>
      <c r="I17" s="319"/>
      <c r="J17" s="670">
        <f>J18+J19+J20+J21+J22+J23-J24</f>
        <v>0</v>
      </c>
      <c r="K17" s="1269"/>
      <c r="L17" s="1269"/>
      <c r="M17" s="1269"/>
      <c r="N17" s="531">
        <f>IF(J17&lt;0,"NEM LEHET NEGATÍV","")</f>
      </c>
      <c r="Q17" s="240">
        <f>IF(N17="",0,1)</f>
        <v>0</v>
      </c>
    </row>
    <row r="18" spans="1:17" ht="15">
      <c r="A18" s="532" t="s">
        <v>243</v>
      </c>
      <c r="B18" s="1475" t="s">
        <v>430</v>
      </c>
      <c r="C18" s="1475"/>
      <c r="D18" s="1475"/>
      <c r="E18" s="1475"/>
      <c r="F18" s="477"/>
      <c r="G18" s="477"/>
      <c r="H18" s="477"/>
      <c r="I18" s="477"/>
      <c r="J18" s="671"/>
      <c r="K18" s="1269"/>
      <c r="L18" s="1269"/>
      <c r="M18" s="1269"/>
      <c r="N18" s="479">
        <f>IF(J18=ROUND((J18),0),"","Csak egész számot írtat be")</f>
      </c>
      <c r="Q18" s="240">
        <f>IF(N18="",0,1)</f>
        <v>0</v>
      </c>
    </row>
    <row r="19" spans="1:17" ht="15">
      <c r="A19" s="474" t="s">
        <v>245</v>
      </c>
      <c r="B19" s="1268" t="s">
        <v>431</v>
      </c>
      <c r="C19" s="1268"/>
      <c r="D19" s="1268"/>
      <c r="E19" s="1268"/>
      <c r="F19" s="319"/>
      <c r="G19" s="319"/>
      <c r="H19" s="319"/>
      <c r="I19" s="319"/>
      <c r="J19" s="671"/>
      <c r="K19" s="1269"/>
      <c r="L19" s="1269"/>
      <c r="M19" s="1269"/>
      <c r="N19" s="479">
        <f aca="true" t="shared" si="0" ref="N19:N24">IF(J19=ROUND((J19),0),"","Csak egész számot írtat be")</f>
      </c>
      <c r="Q19" s="240">
        <f aca="true" t="shared" si="1" ref="Q19:Q24">IF(N19="",0,1)</f>
        <v>0</v>
      </c>
    </row>
    <row r="20" spans="1:17" ht="30" customHeight="1">
      <c r="A20" s="480" t="s">
        <v>247</v>
      </c>
      <c r="B20" s="1268" t="s">
        <v>432</v>
      </c>
      <c r="C20" s="1268"/>
      <c r="D20" s="1268"/>
      <c r="E20" s="1268"/>
      <c r="F20" s="477"/>
      <c r="G20" s="477"/>
      <c r="H20" s="477"/>
      <c r="I20" s="477"/>
      <c r="J20" s="671"/>
      <c r="K20" s="1269"/>
      <c r="L20" s="1269"/>
      <c r="M20" s="1269"/>
      <c r="N20" s="479">
        <f t="shared" si="0"/>
      </c>
      <c r="Q20" s="240">
        <f t="shared" si="1"/>
        <v>0</v>
      </c>
    </row>
    <row r="21" spans="1:17" ht="15">
      <c r="A21" s="482" t="s">
        <v>248</v>
      </c>
      <c r="B21" s="1278" t="s">
        <v>433</v>
      </c>
      <c r="C21" s="1278"/>
      <c r="D21" s="1278"/>
      <c r="E21" s="1278"/>
      <c r="F21" s="311"/>
      <c r="G21" s="311"/>
      <c r="H21" s="311"/>
      <c r="I21" s="311"/>
      <c r="J21" s="671"/>
      <c r="K21" s="1269"/>
      <c r="L21" s="1269"/>
      <c r="M21" s="1269"/>
      <c r="N21" s="479">
        <f t="shared" si="0"/>
      </c>
      <c r="Q21" s="240">
        <f t="shared" si="1"/>
        <v>0</v>
      </c>
    </row>
    <row r="22" spans="1:17" ht="30.75" customHeight="1">
      <c r="A22" s="482" t="s">
        <v>254</v>
      </c>
      <c r="B22" s="1278" t="s">
        <v>434</v>
      </c>
      <c r="C22" s="1278"/>
      <c r="D22" s="1278"/>
      <c r="E22" s="1278"/>
      <c r="F22" s="240"/>
      <c r="G22" s="240"/>
      <c r="H22" s="240"/>
      <c r="I22" s="240"/>
      <c r="J22" s="671"/>
      <c r="K22" s="1269"/>
      <c r="L22" s="1269"/>
      <c r="M22" s="1269"/>
      <c r="N22" s="479">
        <f t="shared" si="0"/>
      </c>
      <c r="Q22" s="240">
        <f t="shared" si="1"/>
        <v>0</v>
      </c>
    </row>
    <row r="23" spans="1:17" ht="48" customHeight="1">
      <c r="A23" s="482" t="s">
        <v>255</v>
      </c>
      <c r="B23" s="1278" t="s">
        <v>435</v>
      </c>
      <c r="C23" s="1278"/>
      <c r="D23" s="1278"/>
      <c r="E23" s="1278"/>
      <c r="F23" s="240"/>
      <c r="G23" s="240"/>
      <c r="H23" s="240"/>
      <c r="I23" s="240"/>
      <c r="J23" s="671"/>
      <c r="K23" s="1269"/>
      <c r="L23" s="1269"/>
      <c r="M23" s="1269"/>
      <c r="N23" s="479">
        <f t="shared" si="0"/>
      </c>
      <c r="Q23" s="240">
        <f t="shared" si="1"/>
        <v>0</v>
      </c>
    </row>
    <row r="24" spans="1:17" ht="15">
      <c r="A24" s="482" t="s">
        <v>257</v>
      </c>
      <c r="B24" s="1278" t="s">
        <v>436</v>
      </c>
      <c r="C24" s="1278"/>
      <c r="D24" s="1278"/>
      <c r="E24" s="1278"/>
      <c r="F24" s="240"/>
      <c r="G24" s="240"/>
      <c r="H24" s="240"/>
      <c r="I24" s="240"/>
      <c r="J24" s="671"/>
      <c r="K24" s="1269"/>
      <c r="L24" s="1269"/>
      <c r="M24" s="1269"/>
      <c r="N24" s="479">
        <f t="shared" si="0"/>
      </c>
      <c r="Q24" s="240">
        <f t="shared" si="1"/>
        <v>0</v>
      </c>
    </row>
    <row r="25" spans="2:17" ht="15">
      <c r="B25" s="484" t="str">
        <f>'F.LAP'!B41</f>
        <v>Készítette:</v>
      </c>
      <c r="C25" s="485" t="str">
        <f>'F.LAP'!C41</f>
        <v>www.iparuzes.hu                   .</v>
      </c>
      <c r="Q25" s="240">
        <f>SUM(Q17:Q24)</f>
        <v>0</v>
      </c>
    </row>
    <row r="27" spans="1:13" ht="15.75">
      <c r="A27" s="1276" t="str">
        <f>'2. oldal'!B81</f>
        <v>Szabadszállás</v>
      </c>
      <c r="B27" s="1276"/>
      <c r="C27" s="1276"/>
      <c r="D27" s="427">
        <f>'2. oldal'!E81</f>
        <v>2013</v>
      </c>
      <c r="E27" s="486" t="s">
        <v>134</v>
      </c>
      <c r="F27" s="486"/>
      <c r="G27" s="486"/>
      <c r="H27" s="486"/>
      <c r="I27" s="486"/>
      <c r="J27" s="427">
        <f>'2. oldal'!H81</f>
        <v>0</v>
      </c>
      <c r="K27" s="486" t="s">
        <v>135</v>
      </c>
      <c r="L27" s="427">
        <f>'2. oldal'!N81</f>
        <v>0</v>
      </c>
      <c r="M27" s="250" t="s">
        <v>210</v>
      </c>
    </row>
    <row r="30" spans="10:13" ht="15">
      <c r="J30" s="487"/>
      <c r="K30" s="487"/>
      <c r="L30" s="487"/>
      <c r="M30" s="487"/>
    </row>
    <row r="31" spans="10:13" ht="15">
      <c r="J31" s="1277" t="s">
        <v>388</v>
      </c>
      <c r="K31" s="1277"/>
      <c r="L31" s="1277"/>
      <c r="M31" s="1277"/>
    </row>
    <row r="33" ht="15" hidden="1"/>
    <row r="39" spans="1:2" ht="15">
      <c r="A39" s="298"/>
      <c r="B39" s="235"/>
    </row>
    <row r="40" spans="1:2" ht="15">
      <c r="A40" s="298">
        <f>IF(B40="",0,1)</f>
        <v>0</v>
      </c>
      <c r="B40" s="235"/>
    </row>
    <row r="41" spans="1:2" ht="15">
      <c r="A41" s="298">
        <f>IF(B41="",0,1)</f>
        <v>0</v>
      </c>
      <c r="B41" s="235">
        <f>IF('x4_ oldal'!A68=0,"","1-4.oldal hibás!")</f>
      </c>
    </row>
    <row r="42" spans="1:2" ht="15">
      <c r="A42" s="298"/>
      <c r="B42" s="235"/>
    </row>
    <row r="43" spans="1:2" ht="15">
      <c r="A43" s="298">
        <f>IF(B43="",0,1)</f>
        <v>0</v>
      </c>
      <c r="B43" s="235">
        <f>IF(Q25=0,""," A lapon nagatív és/vagy tört szám van!")</f>
      </c>
    </row>
    <row r="44" spans="1:2" ht="15">
      <c r="A44" s="298"/>
      <c r="B44" s="235"/>
    </row>
    <row r="45" spans="1:13" ht="15.75">
      <c r="A45" s="298">
        <f>SUM(A39:A44)</f>
        <v>0</v>
      </c>
      <c r="B45" s="301" t="str">
        <f>IF(A45=0," E L L E N Ő R Z Ö T T "," H I B Á S")</f>
        <v> E L L E N Ő R Z Ö T T </v>
      </c>
      <c r="D45" s="334" t="str">
        <f>'1. oldal'!M131</f>
        <v> VAN HIBÁS LAP !</v>
      </c>
      <c r="M45" s="298">
        <f>IF(B45=" E L L E N Ő R Z Ö T T ",0,1)</f>
        <v>0</v>
      </c>
    </row>
    <row r="47" spans="1:3" ht="31.5" customHeight="1">
      <c r="A47" s="489"/>
      <c r="C47" s="490"/>
    </row>
  </sheetData>
  <sheetProtection password="C1DD" sheet="1" objects="1" scenarios="1"/>
  <mergeCells count="34">
    <mergeCell ref="A13:B13"/>
    <mergeCell ref="C13:M13"/>
    <mergeCell ref="A16:E16"/>
    <mergeCell ref="K16:M16"/>
    <mergeCell ref="A14:D14"/>
    <mergeCell ref="E14:M14"/>
    <mergeCell ref="J31:M31"/>
    <mergeCell ref="B22:E22"/>
    <mergeCell ref="K22:M22"/>
    <mergeCell ref="B23:E23"/>
    <mergeCell ref="K23:M23"/>
    <mergeCell ref="B24:E24"/>
    <mergeCell ref="K24:M24"/>
    <mergeCell ref="A27:C27"/>
    <mergeCell ref="K20:M20"/>
    <mergeCell ref="B21:E21"/>
    <mergeCell ref="K21:M21"/>
    <mergeCell ref="B20:E20"/>
    <mergeCell ref="A1:M1"/>
    <mergeCell ref="A9:M9"/>
    <mergeCell ref="A2:M2"/>
    <mergeCell ref="A6:M6"/>
    <mergeCell ref="A7:M7"/>
    <mergeCell ref="A8:M8"/>
    <mergeCell ref="A10:C10"/>
    <mergeCell ref="D10:M10"/>
    <mergeCell ref="B19:E19"/>
    <mergeCell ref="K19:M19"/>
    <mergeCell ref="K18:M18"/>
    <mergeCell ref="B18:E18"/>
    <mergeCell ref="A11:C11"/>
    <mergeCell ref="B17:E17"/>
    <mergeCell ref="K17:M17"/>
    <mergeCell ref="A12:M12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5"/>
  <sheetViews>
    <sheetView showGridLines="0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4.7109375" style="250" customWidth="1"/>
    <col min="2" max="2" width="9.421875" style="250" customWidth="1"/>
    <col min="3" max="3" width="18.57421875" style="250" customWidth="1"/>
    <col min="4" max="4" width="19.8515625" style="250" customWidth="1"/>
    <col min="5" max="5" width="2.8515625" style="250" customWidth="1"/>
    <col min="6" max="9" width="0" style="250" hidden="1" customWidth="1"/>
    <col min="10" max="10" width="20.28125" style="250" customWidth="1"/>
    <col min="11" max="11" width="2.8515625" style="250" customWidth="1"/>
    <col min="12" max="12" width="3.8515625" style="250" customWidth="1"/>
    <col min="13" max="13" width="3.421875" style="250" customWidth="1"/>
    <col min="14" max="18" width="0" style="240" hidden="1" customWidth="1"/>
    <col min="19" max="19" width="0" style="250" hidden="1" customWidth="1"/>
    <col min="20" max="16384" width="9.140625" style="250" customWidth="1"/>
  </cols>
  <sheetData>
    <row r="1" spans="1:13" ht="16.5">
      <c r="A1" s="1266" t="s">
        <v>371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</row>
    <row r="2" spans="1:13" ht="2.25" customHeight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ht="15" hidden="1"/>
    <row r="5" spans="1:13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</row>
    <row r="6" spans="1:18" ht="1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250"/>
      <c r="O6" s="250"/>
      <c r="P6" s="250"/>
      <c r="Q6" s="250"/>
      <c r="R6" s="250"/>
    </row>
    <row r="7" spans="1:18" ht="1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250"/>
      <c r="O7" s="250"/>
      <c r="P7" s="250"/>
      <c r="Q7" s="250"/>
      <c r="R7" s="250"/>
    </row>
    <row r="8" spans="1:13" ht="15">
      <c r="A8" s="1267" t="s">
        <v>628</v>
      </c>
      <c r="B8" s="1267"/>
      <c r="C8" s="1267"/>
      <c r="D8" s="1267"/>
      <c r="E8" s="1267"/>
      <c r="F8" s="1267"/>
      <c r="G8" s="1267"/>
      <c r="H8" s="1267"/>
      <c r="I8" s="1267"/>
      <c r="J8" s="1267"/>
      <c r="K8" s="1267"/>
      <c r="L8" s="1267"/>
      <c r="M8" s="1267"/>
    </row>
    <row r="9" spans="1:13" ht="15">
      <c r="A9" s="1267"/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</row>
    <row r="10" spans="1:13" ht="15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</row>
    <row r="11" spans="1:13" ht="15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2"/>
    </row>
    <row r="12" spans="1:13" ht="15.75">
      <c r="A12" s="1284">
        <f>'1. oldal'!K69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</row>
    <row r="13" spans="1:13" ht="15.75">
      <c r="A13" s="1270" t="s">
        <v>202</v>
      </c>
      <c r="B13" s="1270"/>
      <c r="C13" s="1323">
        <f>IF('1. oldal'!T74="","",'1. oldal'!T74)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</row>
    <row r="14" spans="1:13" ht="15">
      <c r="A14" s="1274" t="s">
        <v>428</v>
      </c>
      <c r="B14" s="1274"/>
      <c r="C14" s="1274"/>
      <c r="D14" s="1274"/>
      <c r="E14" s="1275">
        <f>IF('1. oldal'!K74="","",'1. oldal'!K74)</f>
      </c>
      <c r="F14" s="1275"/>
      <c r="G14" s="1275"/>
      <c r="H14" s="1275"/>
      <c r="I14" s="1275"/>
      <c r="J14" s="1275"/>
      <c r="K14" s="1275"/>
      <c r="L14" s="1275"/>
      <c r="M14" s="1275"/>
    </row>
    <row r="15" spans="1:13" ht="15">
      <c r="A15" s="311"/>
      <c r="B15" s="311"/>
      <c r="C15" s="311"/>
      <c r="D15" s="311"/>
      <c r="E15" s="311"/>
      <c r="F15" s="311"/>
      <c r="G15" s="311"/>
      <c r="H15" s="311"/>
      <c r="J15" s="240"/>
      <c r="K15" s="240"/>
      <c r="L15" s="240"/>
      <c r="M15" s="240"/>
    </row>
    <row r="16" spans="1:13" ht="30" customHeight="1">
      <c r="A16" s="1272" t="s">
        <v>364</v>
      </c>
      <c r="B16" s="1272"/>
      <c r="C16" s="1272"/>
      <c r="D16" s="1272"/>
      <c r="E16" s="1272"/>
      <c r="J16" s="669" t="s">
        <v>365</v>
      </c>
      <c r="K16" s="1273" t="s">
        <v>132</v>
      </c>
      <c r="L16" s="1273"/>
      <c r="M16" s="1273"/>
    </row>
    <row r="17" spans="1:17" ht="28.5" customHeight="1">
      <c r="A17" s="474" t="s">
        <v>241</v>
      </c>
      <c r="B17" s="1280" t="s">
        <v>429</v>
      </c>
      <c r="C17" s="1280"/>
      <c r="D17" s="1280"/>
      <c r="E17" s="1280"/>
      <c r="F17" s="319"/>
      <c r="G17" s="319"/>
      <c r="H17" s="319"/>
      <c r="I17" s="319"/>
      <c r="J17" s="670">
        <f>J18+J19+J20+J21+J22+J23-J24</f>
        <v>0</v>
      </c>
      <c r="K17" s="1269"/>
      <c r="L17" s="1269"/>
      <c r="M17" s="1269"/>
      <c r="N17" s="531">
        <f>IF(J17&lt;0,"NEM LEHET NEGATÍV","")</f>
      </c>
      <c r="Q17" s="240">
        <f>IF(N17="",0,1)</f>
        <v>0</v>
      </c>
    </row>
    <row r="18" spans="1:17" ht="15">
      <c r="A18" s="532" t="s">
        <v>243</v>
      </c>
      <c r="B18" s="1475" t="s">
        <v>437</v>
      </c>
      <c r="C18" s="1475"/>
      <c r="D18" s="1475"/>
      <c r="E18" s="1475"/>
      <c r="F18" s="477"/>
      <c r="G18" s="477"/>
      <c r="H18" s="477"/>
      <c r="I18" s="477"/>
      <c r="J18" s="671"/>
      <c r="K18" s="1269"/>
      <c r="L18" s="1269"/>
      <c r="M18" s="1269"/>
      <c r="N18" s="479">
        <f>IF(J18=ROUND((J18),0),"","Csak egész számot írtat be")</f>
      </c>
      <c r="Q18" s="240">
        <f>IF(N18="",0,1)</f>
        <v>0</v>
      </c>
    </row>
    <row r="19" spans="1:17" ht="15">
      <c r="A19" s="474" t="s">
        <v>245</v>
      </c>
      <c r="B19" s="1268" t="s">
        <v>438</v>
      </c>
      <c r="C19" s="1268"/>
      <c r="D19" s="1268"/>
      <c r="E19" s="1268"/>
      <c r="F19" s="319"/>
      <c r="G19" s="319"/>
      <c r="H19" s="319"/>
      <c r="I19" s="319"/>
      <c r="J19" s="672"/>
      <c r="K19" s="1269"/>
      <c r="L19" s="1269"/>
      <c r="M19" s="1269"/>
      <c r="N19" s="479">
        <f aca="true" t="shared" si="0" ref="N19:N24">IF(J19=ROUND((J19),0),"","Csak egész számot írtat be")</f>
      </c>
      <c r="Q19" s="240">
        <f aca="true" t="shared" si="1" ref="Q19:Q24">IF(N19="",0,1)</f>
        <v>0</v>
      </c>
    </row>
    <row r="20" spans="1:17" ht="45.75" customHeight="1">
      <c r="A20" s="480" t="s">
        <v>247</v>
      </c>
      <c r="B20" s="1268" t="s">
        <v>439</v>
      </c>
      <c r="C20" s="1268"/>
      <c r="D20" s="1268"/>
      <c r="E20" s="1268"/>
      <c r="F20" s="477"/>
      <c r="G20" s="477"/>
      <c r="H20" s="477"/>
      <c r="I20" s="477"/>
      <c r="J20" s="671"/>
      <c r="K20" s="1269"/>
      <c r="L20" s="1269"/>
      <c r="M20" s="1269"/>
      <c r="N20" s="479">
        <f t="shared" si="0"/>
      </c>
      <c r="Q20" s="240">
        <f t="shared" si="1"/>
        <v>0</v>
      </c>
    </row>
    <row r="21" spans="1:17" ht="31.5" customHeight="1">
      <c r="A21" s="482" t="s">
        <v>248</v>
      </c>
      <c r="B21" s="1278" t="s">
        <v>459</v>
      </c>
      <c r="C21" s="1278"/>
      <c r="D21" s="1278"/>
      <c r="E21" s="1278"/>
      <c r="F21" s="311"/>
      <c r="G21" s="311"/>
      <c r="H21" s="311"/>
      <c r="I21" s="311"/>
      <c r="J21" s="673"/>
      <c r="K21" s="1269"/>
      <c r="L21" s="1269"/>
      <c r="M21" s="1269"/>
      <c r="N21" s="479">
        <f t="shared" si="0"/>
      </c>
      <c r="Q21" s="240">
        <f t="shared" si="1"/>
        <v>0</v>
      </c>
    </row>
    <row r="22" spans="1:17" ht="30.75" customHeight="1">
      <c r="A22" s="482" t="s">
        <v>254</v>
      </c>
      <c r="B22" s="1278" t="s">
        <v>435</v>
      </c>
      <c r="C22" s="1278"/>
      <c r="D22" s="1278"/>
      <c r="E22" s="1278"/>
      <c r="F22" s="240"/>
      <c r="G22" s="240"/>
      <c r="H22" s="240"/>
      <c r="I22" s="240"/>
      <c r="J22" s="673"/>
      <c r="K22" s="1269"/>
      <c r="L22" s="1269"/>
      <c r="M22" s="1269"/>
      <c r="N22" s="479">
        <f t="shared" si="0"/>
      </c>
      <c r="Q22" s="240">
        <f t="shared" si="1"/>
        <v>0</v>
      </c>
    </row>
    <row r="23" spans="1:17" ht="43.5" customHeight="1">
      <c r="A23" s="482" t="s">
        <v>255</v>
      </c>
      <c r="B23" s="1278" t="s">
        <v>440</v>
      </c>
      <c r="C23" s="1278"/>
      <c r="D23" s="1278"/>
      <c r="E23" s="1278"/>
      <c r="F23" s="240"/>
      <c r="G23" s="240"/>
      <c r="H23" s="240"/>
      <c r="I23" s="240"/>
      <c r="J23" s="673"/>
      <c r="K23" s="1269"/>
      <c r="L23" s="1269"/>
      <c r="M23" s="1269"/>
      <c r="N23" s="479">
        <f t="shared" si="0"/>
      </c>
      <c r="Q23" s="240">
        <f t="shared" si="1"/>
        <v>0</v>
      </c>
    </row>
    <row r="24" spans="1:17" ht="15">
      <c r="A24" s="482" t="s">
        <v>257</v>
      </c>
      <c r="B24" s="1278" t="s">
        <v>454</v>
      </c>
      <c r="C24" s="1278"/>
      <c r="D24" s="1278"/>
      <c r="E24" s="1278"/>
      <c r="F24" s="240"/>
      <c r="G24" s="240"/>
      <c r="H24" s="240"/>
      <c r="I24" s="240"/>
      <c r="J24" s="674"/>
      <c r="K24" s="1258"/>
      <c r="L24" s="1258"/>
      <c r="M24" s="1258"/>
      <c r="N24" s="479">
        <f t="shared" si="0"/>
      </c>
      <c r="Q24" s="240">
        <f t="shared" si="1"/>
        <v>0</v>
      </c>
    </row>
    <row r="25" spans="2:17" ht="15">
      <c r="B25" s="484" t="str">
        <f>B_LAP!B25</f>
        <v>Készítette:</v>
      </c>
      <c r="C25" s="485" t="str">
        <f>B_LAP!C25</f>
        <v>www.iparuzes.hu                   .</v>
      </c>
      <c r="Q25" s="240">
        <f>SUM(Q17:Q24)</f>
        <v>0</v>
      </c>
    </row>
    <row r="27" spans="1:13" ht="15.75">
      <c r="A27" s="1276" t="str">
        <f>'2. oldal'!B81</f>
        <v>Szabadszállás</v>
      </c>
      <c r="B27" s="1276"/>
      <c r="C27" s="1276"/>
      <c r="D27" s="427">
        <f>'2. oldal'!E81</f>
        <v>2013</v>
      </c>
      <c r="E27" s="486" t="s">
        <v>134</v>
      </c>
      <c r="F27" s="486"/>
      <c r="G27" s="486"/>
      <c r="H27" s="486"/>
      <c r="I27" s="486"/>
      <c r="J27" s="427">
        <f>'2. oldal'!H81</f>
        <v>0</v>
      </c>
      <c r="K27" s="486" t="s">
        <v>135</v>
      </c>
      <c r="L27" s="427">
        <f>'2. oldal'!N81</f>
        <v>0</v>
      </c>
      <c r="M27" s="250" t="s">
        <v>210</v>
      </c>
    </row>
    <row r="30" spans="10:13" ht="15">
      <c r="J30" s="487"/>
      <c r="K30" s="487"/>
      <c r="L30" s="487"/>
      <c r="M30" s="487"/>
    </row>
    <row r="31" spans="10:13" ht="15">
      <c r="J31" s="1277" t="s">
        <v>388</v>
      </c>
      <c r="K31" s="1277"/>
      <c r="L31" s="1277"/>
      <c r="M31" s="1277"/>
    </row>
    <row r="32" ht="15" hidden="1"/>
    <row r="37" spans="1:2" ht="15">
      <c r="A37" s="298">
        <f>IF(B37="",0,1)</f>
        <v>0</v>
      </c>
      <c r="B37" s="235"/>
    </row>
    <row r="38" spans="1:2" ht="15">
      <c r="A38" s="298">
        <f>IF(B38="",0,1)</f>
        <v>0</v>
      </c>
      <c r="B38" s="235"/>
    </row>
    <row r="39" spans="1:2" ht="15">
      <c r="A39" s="298">
        <f>IF(B39="",0,1)</f>
        <v>0</v>
      </c>
      <c r="B39" s="235">
        <f>IF('x4_ oldal'!A68=0,"","1-4. oldal hibás!")</f>
      </c>
    </row>
    <row r="40" spans="1:2" ht="15">
      <c r="A40" s="298"/>
      <c r="B40" s="235"/>
    </row>
    <row r="41" spans="1:2" ht="15">
      <c r="A41" s="298">
        <f>IF(B41="",0,1)</f>
        <v>0</v>
      </c>
      <c r="B41" s="235">
        <f>IF(Q25=0,""," A lapon nagatív és/vagy tört szám van!")</f>
      </c>
    </row>
    <row r="42" spans="1:2" ht="15">
      <c r="A42" s="298"/>
      <c r="B42" s="235"/>
    </row>
    <row r="43" spans="1:13" ht="15.75">
      <c r="A43" s="298">
        <f>SUM(A37:A42)</f>
        <v>0</v>
      </c>
      <c r="B43" s="301" t="str">
        <f>IF(A43=0," E L L E N Ő R Z Ö T T "," H I B Á S")</f>
        <v> E L L E N Ő R Z Ö T T </v>
      </c>
      <c r="D43" s="334" t="str">
        <f>'1. oldal'!M131</f>
        <v> VAN HIBÁS LAP !</v>
      </c>
      <c r="M43" s="298">
        <f>IF(B43=" E L L E N Ő R Z Ö T T ",0,1)</f>
        <v>0</v>
      </c>
    </row>
    <row r="45" spans="1:3" ht="31.5" customHeight="1">
      <c r="A45" s="489"/>
      <c r="C45" s="490"/>
    </row>
  </sheetData>
  <sheetProtection password="C1DD" sheet="1" objects="1" scenarios="1"/>
  <mergeCells count="34">
    <mergeCell ref="A13:B13"/>
    <mergeCell ref="C13:M13"/>
    <mergeCell ref="A16:E16"/>
    <mergeCell ref="K16:M16"/>
    <mergeCell ref="A14:D14"/>
    <mergeCell ref="E14:M14"/>
    <mergeCell ref="J31:M31"/>
    <mergeCell ref="B22:E22"/>
    <mergeCell ref="K22:M22"/>
    <mergeCell ref="B23:E23"/>
    <mergeCell ref="K23:M23"/>
    <mergeCell ref="B24:E24"/>
    <mergeCell ref="K24:M24"/>
    <mergeCell ref="A27:C27"/>
    <mergeCell ref="K20:M20"/>
    <mergeCell ref="B21:E21"/>
    <mergeCell ref="K21:M21"/>
    <mergeCell ref="B20:E20"/>
    <mergeCell ref="A1:M1"/>
    <mergeCell ref="A9:M9"/>
    <mergeCell ref="A2:M2"/>
    <mergeCell ref="A6:M6"/>
    <mergeCell ref="A7:M7"/>
    <mergeCell ref="A8:M8"/>
    <mergeCell ref="A10:C10"/>
    <mergeCell ref="D10:M10"/>
    <mergeCell ref="B19:E19"/>
    <mergeCell ref="K19:M19"/>
    <mergeCell ref="K18:M18"/>
    <mergeCell ref="B18:E18"/>
    <mergeCell ref="A11:C11"/>
    <mergeCell ref="B17:E17"/>
    <mergeCell ref="K17:M17"/>
    <mergeCell ref="A12:M12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E50" sqref="E50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447</v>
      </c>
      <c r="D1" s="13"/>
      <c r="E1" s="13" t="s">
        <v>550</v>
      </c>
    </row>
    <row r="2" spans="2:4" ht="12.75">
      <c r="B2" s="14">
        <v>40828</v>
      </c>
      <c r="D2" s="13"/>
    </row>
    <row r="4" ht="12.75">
      <c r="D4" s="13" t="s">
        <v>551</v>
      </c>
    </row>
    <row r="5" ht="12.75">
      <c r="D5" s="15"/>
    </row>
    <row r="6" ht="12.75">
      <c r="D6" s="15"/>
    </row>
    <row r="7" ht="12.75">
      <c r="B7" s="15" t="s">
        <v>552</v>
      </c>
    </row>
    <row r="8" spans="1:2" ht="12.75">
      <c r="A8" s="15"/>
      <c r="B8" s="15" t="s">
        <v>553</v>
      </c>
    </row>
    <row r="9" ht="12.75">
      <c r="B9" s="15" t="s">
        <v>554</v>
      </c>
    </row>
    <row r="10" spans="1:2" ht="12.75">
      <c r="A10" s="15"/>
      <c r="B10" s="15" t="s">
        <v>555</v>
      </c>
    </row>
    <row r="11" spans="1:2" ht="12.75">
      <c r="A11" s="15"/>
      <c r="B11" s="15" t="s">
        <v>657</v>
      </c>
    </row>
    <row r="12" spans="1:2" ht="12.75">
      <c r="A12" s="15"/>
      <c r="B12" s="15" t="s">
        <v>658</v>
      </c>
    </row>
    <row r="13" ht="12.75">
      <c r="A13" s="15"/>
    </row>
    <row r="14" ht="12.75">
      <c r="A14" s="15"/>
    </row>
    <row r="15" spans="1:2" ht="12.75">
      <c r="A15" s="13"/>
      <c r="B15" s="13" t="s">
        <v>659</v>
      </c>
    </row>
    <row r="16" ht="12.75">
      <c r="A16" s="13"/>
    </row>
    <row r="17" ht="12.75">
      <c r="B17" s="15" t="s">
        <v>660</v>
      </c>
    </row>
    <row r="18" spans="1:2" ht="12.75">
      <c r="A18" s="15"/>
      <c r="B18" s="15" t="s">
        <v>661</v>
      </c>
    </row>
    <row r="19" spans="1:2" ht="12.75">
      <c r="A19" s="15"/>
      <c r="B19" s="15" t="s">
        <v>662</v>
      </c>
    </row>
    <row r="20" spans="1:2" ht="12.75">
      <c r="A20" s="15"/>
      <c r="B20" s="15" t="s">
        <v>663</v>
      </c>
    </row>
    <row r="21" spans="1:2" ht="12.75">
      <c r="A21" s="15"/>
      <c r="B21" s="15" t="s">
        <v>664</v>
      </c>
    </row>
    <row r="22" spans="1:2" ht="12.75">
      <c r="A22" s="15"/>
      <c r="B22" s="15" t="s">
        <v>665</v>
      </c>
    </row>
    <row r="23" s="13" customFormat="1" ht="12.75">
      <c r="B23" s="13" t="s">
        <v>666</v>
      </c>
    </row>
    <row r="24" s="13" customFormat="1" ht="12.75"/>
    <row r="25" ht="12.75">
      <c r="B25" s="15" t="s">
        <v>667</v>
      </c>
    </row>
    <row r="26" spans="1:2" ht="12.75">
      <c r="A26" s="15"/>
      <c r="B26" s="15" t="s">
        <v>668</v>
      </c>
    </row>
    <row r="27" spans="1:2" ht="12.75">
      <c r="A27" s="15"/>
      <c r="B27" s="15" t="s">
        <v>669</v>
      </c>
    </row>
    <row r="28" ht="12.75">
      <c r="B28" s="15" t="s">
        <v>675</v>
      </c>
    </row>
    <row r="29" spans="2:4" ht="12.75">
      <c r="B29" s="13" t="s">
        <v>676</v>
      </c>
      <c r="D29" s="13"/>
    </row>
    <row r="30" spans="1:2" ht="12.75">
      <c r="A30" s="15"/>
      <c r="B30" s="11" t="s">
        <v>677</v>
      </c>
    </row>
    <row r="31" spans="1:2" ht="12.75">
      <c r="A31" s="15"/>
      <c r="B31" s="11" t="s">
        <v>678</v>
      </c>
    </row>
    <row r="32" spans="1:2" ht="12.75">
      <c r="A32" s="15"/>
      <c r="B32" s="11" t="s">
        <v>679</v>
      </c>
    </row>
    <row r="33" spans="1:2" ht="12.75">
      <c r="A33" s="15"/>
      <c r="B33" s="13" t="s">
        <v>680</v>
      </c>
    </row>
    <row r="34" spans="1:2" ht="12.75">
      <c r="A34" s="15"/>
      <c r="B34" s="13"/>
    </row>
    <row r="35" spans="1:11" ht="12.75">
      <c r="A35" s="13"/>
      <c r="B35" s="13" t="s">
        <v>681</v>
      </c>
      <c r="C35" s="13"/>
      <c r="D35" s="13"/>
      <c r="E35" s="13"/>
      <c r="F35" s="13"/>
      <c r="G35" s="13"/>
      <c r="H35" s="13"/>
      <c r="I35" s="13"/>
      <c r="J35" s="13"/>
      <c r="K35" s="13"/>
    </row>
    <row r="36" ht="12.75">
      <c r="B36" s="16" t="s">
        <v>682</v>
      </c>
    </row>
    <row r="37" spans="1:2" ht="12.75">
      <c r="A37" s="15"/>
      <c r="B37" s="15" t="s">
        <v>683</v>
      </c>
    </row>
    <row r="38" spans="1:2" ht="12.75">
      <c r="A38" s="15"/>
      <c r="B38" s="11" t="s">
        <v>684</v>
      </c>
    </row>
    <row r="39" spans="2:4" ht="12.75">
      <c r="B39" s="13"/>
      <c r="D39" s="13"/>
    </row>
    <row r="40" spans="2:4" ht="12.75">
      <c r="B40" s="11" t="s">
        <v>685</v>
      </c>
      <c r="D40" s="13"/>
    </row>
    <row r="41" spans="2:4" ht="12.75">
      <c r="B41" s="11" t="s">
        <v>686</v>
      </c>
      <c r="D41" s="13"/>
    </row>
    <row r="42" spans="2:4" ht="12.75">
      <c r="B42" s="17" t="s">
        <v>687</v>
      </c>
      <c r="D42" s="13"/>
    </row>
    <row r="43" spans="2:9" ht="12.75">
      <c r="B43" s="15"/>
      <c r="D43" s="13"/>
      <c r="H43" s="13"/>
      <c r="I43" s="13"/>
    </row>
    <row r="44" spans="2:9" ht="12.75">
      <c r="B44" s="15" t="s">
        <v>688</v>
      </c>
      <c r="D44" s="13"/>
      <c r="H44" s="13"/>
      <c r="I44" s="13"/>
    </row>
    <row r="45" spans="2:4" ht="12.75">
      <c r="B45" s="15" t="s">
        <v>689</v>
      </c>
      <c r="D45" s="13"/>
    </row>
    <row r="46" spans="2:4" ht="12.75">
      <c r="B46" s="15" t="s">
        <v>691</v>
      </c>
      <c r="D46" s="13"/>
    </row>
    <row r="47" spans="2:4" ht="12.75">
      <c r="B47" s="15"/>
      <c r="D47" s="13"/>
    </row>
    <row r="48" spans="2:4" ht="12.75">
      <c r="B48" s="11" t="s">
        <v>692</v>
      </c>
      <c r="D48" s="13"/>
    </row>
    <row r="49" spans="2:4" ht="12.75">
      <c r="B49" s="11" t="s">
        <v>693</v>
      </c>
      <c r="D49" s="13"/>
    </row>
    <row r="50" spans="2:4" ht="12.75">
      <c r="B50" s="15" t="s">
        <v>697</v>
      </c>
      <c r="D50" s="13"/>
    </row>
    <row r="51" spans="2:4" ht="12.75">
      <c r="B51" s="11" t="s">
        <v>698</v>
      </c>
      <c r="D51" s="13"/>
    </row>
    <row r="52" ht="12.75">
      <c r="D52" s="13"/>
    </row>
    <row r="53" spans="2:4" s="18" customFormat="1" ht="12.75">
      <c r="B53" s="13" t="s">
        <v>699</v>
      </c>
      <c r="D53" s="19"/>
    </row>
    <row r="54" spans="2:4" s="18" customFormat="1" ht="12.75">
      <c r="B54" s="20" t="s">
        <v>700</v>
      </c>
      <c r="D54" s="19"/>
    </row>
    <row r="55" spans="2:12" s="18" customFormat="1" ht="12.75" hidden="1">
      <c r="B55" s="21" t="s">
        <v>701</v>
      </c>
      <c r="C55" s="21"/>
      <c r="D55" s="21"/>
      <c r="E55" s="21"/>
      <c r="F55" s="21"/>
      <c r="G55" s="19"/>
      <c r="H55" s="19"/>
      <c r="I55" s="19"/>
      <c r="J55" s="19"/>
      <c r="K55" s="19"/>
      <c r="L55" s="19"/>
    </row>
    <row r="56" spans="2:12" s="18" customFormat="1" ht="12.75" hidden="1">
      <c r="B56" s="21" t="s">
        <v>702</v>
      </c>
      <c r="C56" s="21"/>
      <c r="D56" s="21"/>
      <c r="E56" s="21"/>
      <c r="F56" s="21"/>
      <c r="G56" s="19"/>
      <c r="H56" s="19"/>
      <c r="I56" s="19"/>
      <c r="J56" s="19"/>
      <c r="K56" s="19"/>
      <c r="L56" s="19"/>
    </row>
    <row r="57" spans="2:12" s="18" customFormat="1" ht="12.75" hidden="1">
      <c r="B57" s="21" t="s">
        <v>704</v>
      </c>
      <c r="D57" s="21"/>
      <c r="E57" s="21"/>
      <c r="F57" s="21"/>
      <c r="G57" s="19"/>
      <c r="H57" s="19"/>
      <c r="I57" s="19"/>
      <c r="J57" s="19"/>
      <c r="K57" s="19"/>
      <c r="L57" s="19"/>
    </row>
    <row r="58" spans="2:12" s="18" customFormat="1" ht="12.75">
      <c r="B58" s="21"/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>
      <c r="B59" s="21"/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4" s="18" customFormat="1" ht="12.75">
      <c r="B60" s="21"/>
      <c r="D60" s="19"/>
    </row>
    <row r="61" spans="2:4" ht="12.75">
      <c r="B61" s="16" t="s">
        <v>448</v>
      </c>
      <c r="C61" s="15"/>
      <c r="D61" s="13"/>
    </row>
    <row r="62" spans="2:4" ht="12.75">
      <c r="B62" s="15"/>
      <c r="C62" s="15"/>
      <c r="D62" s="13"/>
    </row>
    <row r="63" spans="2:4" ht="12.75">
      <c r="B63" s="15" t="s">
        <v>705</v>
      </c>
      <c r="D63" s="13"/>
    </row>
    <row r="64" spans="2:4" ht="12.75">
      <c r="B64" s="15" t="s">
        <v>706</v>
      </c>
      <c r="D64" s="13"/>
    </row>
    <row r="65" spans="2:4" ht="12.75">
      <c r="B65" s="15"/>
      <c r="D65" s="13"/>
    </row>
    <row r="66" spans="2:9" ht="12.75">
      <c r="B66" s="15" t="s">
        <v>707</v>
      </c>
      <c r="D66" s="13"/>
      <c r="I66" s="761" t="s">
        <v>450</v>
      </c>
    </row>
    <row r="67" spans="2:4" ht="12.75">
      <c r="B67" s="15" t="s">
        <v>708</v>
      </c>
      <c r="D67" s="13"/>
    </row>
    <row r="68" spans="2:4" ht="12.75">
      <c r="B68" s="15" t="s">
        <v>709</v>
      </c>
      <c r="D68" s="13"/>
    </row>
    <row r="69" spans="2:4" ht="12.75">
      <c r="B69" s="15" t="s">
        <v>710</v>
      </c>
      <c r="D69" s="13"/>
    </row>
    <row r="70" ht="12.75">
      <c r="D70" s="15"/>
    </row>
    <row r="71" spans="2:10" ht="12.75">
      <c r="B71" s="22" t="s">
        <v>543</v>
      </c>
      <c r="F71" s="23" t="s">
        <v>711</v>
      </c>
      <c r="G71" s="23"/>
      <c r="H71" s="23"/>
      <c r="I71" s="23"/>
      <c r="J71" s="23"/>
    </row>
    <row r="72" spans="2:10" ht="12.75">
      <c r="B72" s="23" t="s">
        <v>712</v>
      </c>
      <c r="F72" s="23" t="s">
        <v>713</v>
      </c>
      <c r="G72" s="23"/>
      <c r="H72" s="23"/>
      <c r="I72" s="23"/>
      <c r="J72" s="23"/>
    </row>
    <row r="73" spans="2:10" ht="12.75">
      <c r="B73" s="24" t="s">
        <v>714</v>
      </c>
      <c r="F73" s="23" t="s">
        <v>715</v>
      </c>
      <c r="G73" s="23"/>
      <c r="H73" s="23"/>
      <c r="I73" s="23"/>
      <c r="J73" s="23"/>
    </row>
    <row r="74" ht="12.75">
      <c r="D74" s="24"/>
    </row>
    <row r="75" spans="2:9" ht="12.75">
      <c r="B75" s="23" t="s">
        <v>716</v>
      </c>
      <c r="C75" s="23"/>
      <c r="D75" s="23" t="s">
        <v>449</v>
      </c>
      <c r="E75" s="23"/>
      <c r="F75" s="23"/>
      <c r="G75" s="23"/>
      <c r="H75" s="23" t="s">
        <v>717</v>
      </c>
      <c r="I75" s="15" t="s">
        <v>718</v>
      </c>
    </row>
    <row r="76" spans="2:8" ht="12.75">
      <c r="B76" s="23"/>
      <c r="C76" s="23"/>
      <c r="D76" s="23" t="s">
        <v>719</v>
      </c>
      <c r="E76" s="23"/>
      <c r="F76" s="23"/>
      <c r="G76" s="23"/>
      <c r="H76" s="23" t="s">
        <v>720</v>
      </c>
    </row>
    <row r="77" spans="2:8" ht="12.75">
      <c r="B77" s="23"/>
      <c r="C77" s="23"/>
      <c r="D77" s="23"/>
      <c r="E77" s="23"/>
      <c r="F77" s="23"/>
      <c r="G77" s="23"/>
      <c r="H77" s="23"/>
    </row>
    <row r="78" spans="2:8" ht="12.75">
      <c r="B78" s="23"/>
      <c r="C78" s="23"/>
      <c r="D78" s="23"/>
      <c r="E78" s="23"/>
      <c r="F78" s="23"/>
      <c r="G78" s="23"/>
      <c r="H78" s="23"/>
    </row>
    <row r="79" spans="2:8" ht="12.75">
      <c r="B79" s="23"/>
      <c r="C79" s="23"/>
      <c r="D79" s="23"/>
      <c r="E79" s="23"/>
      <c r="F79" s="23"/>
      <c r="G79" s="23"/>
      <c r="H79" s="23"/>
    </row>
    <row r="80" ht="12.75">
      <c r="D80" s="23"/>
    </row>
  </sheetData>
  <sheetProtection password="CE2A" sheet="1" objects="1" scenarios="1"/>
  <hyperlinks>
    <hyperlink ref="B71" r:id="rId1" display="info@centex.hu"/>
    <hyperlink ref="I66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80"/>
  <rowBreaks count="1" manualBreakCount="1"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7"/>
  <sheetViews>
    <sheetView showGridLines="0" view="pageBreakPreview" zoomScaleSheetLayoutView="100" zoomScalePageLayoutView="0" workbookViewId="0" topLeftCell="A12">
      <selection activeCell="B20" sqref="B20:E20"/>
    </sheetView>
  </sheetViews>
  <sheetFormatPr defaultColWidth="9.140625" defaultRowHeight="12.75"/>
  <cols>
    <col min="1" max="1" width="4.7109375" style="250" customWidth="1"/>
    <col min="2" max="2" width="10.7109375" style="250" customWidth="1"/>
    <col min="3" max="3" width="17.8515625" style="250" customWidth="1"/>
    <col min="4" max="4" width="18.28125" style="250" customWidth="1"/>
    <col min="5" max="5" width="2.8515625" style="250" customWidth="1"/>
    <col min="6" max="9" width="0" style="250" hidden="1" customWidth="1"/>
    <col min="10" max="10" width="20.00390625" style="250" customWidth="1"/>
    <col min="11" max="11" width="2.7109375" style="250" customWidth="1"/>
    <col min="12" max="12" width="3.7109375" style="250" customWidth="1"/>
    <col min="13" max="13" width="5.140625" style="250" customWidth="1"/>
    <col min="14" max="18" width="0" style="240" hidden="1" customWidth="1"/>
    <col min="19" max="19" width="0" style="250" hidden="1" customWidth="1"/>
    <col min="20" max="16384" width="9.140625" style="250" customWidth="1"/>
  </cols>
  <sheetData>
    <row r="1" spans="1:13" ht="16.5">
      <c r="A1" s="1266" t="s">
        <v>372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</row>
    <row r="2" spans="1:13" ht="3" customHeight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ht="15" hidden="1"/>
    <row r="5" spans="1:13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</row>
    <row r="6" spans="1:18" ht="1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250"/>
      <c r="O6" s="250"/>
      <c r="P6" s="250"/>
      <c r="Q6" s="250"/>
      <c r="R6" s="250"/>
    </row>
    <row r="7" spans="1:18" ht="1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250"/>
      <c r="O7" s="250"/>
      <c r="P7" s="250"/>
      <c r="Q7" s="250"/>
      <c r="R7" s="250"/>
    </row>
    <row r="8" spans="1:13" ht="15">
      <c r="A8" s="1267" t="s">
        <v>633</v>
      </c>
      <c r="B8" s="1267"/>
      <c r="C8" s="1267"/>
      <c r="D8" s="1267"/>
      <c r="E8" s="1267"/>
      <c r="F8" s="1267"/>
      <c r="G8" s="1267"/>
      <c r="H8" s="1267"/>
      <c r="I8" s="1267"/>
      <c r="J8" s="1267"/>
      <c r="K8" s="1267"/>
      <c r="L8" s="1267"/>
      <c r="M8" s="1267"/>
    </row>
    <row r="9" spans="1:13" ht="15">
      <c r="A9" s="1267"/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</row>
    <row r="10" spans="1:13" ht="15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</row>
    <row r="11" spans="1:13" ht="15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2"/>
    </row>
    <row r="12" spans="1:13" ht="15.75">
      <c r="A12" s="1284">
        <f>'1. oldal'!K69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</row>
    <row r="13" spans="1:13" ht="15.75">
      <c r="A13" s="1270" t="s">
        <v>202</v>
      </c>
      <c r="B13" s="1270"/>
      <c r="C13" s="1323">
        <f>IF('1. oldal'!T74="","",'1. oldal'!T74)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</row>
    <row r="14" spans="1:13" ht="15">
      <c r="A14" s="1274" t="s">
        <v>428</v>
      </c>
      <c r="B14" s="1274"/>
      <c r="C14" s="1274"/>
      <c r="D14" s="1274"/>
      <c r="E14" s="1275">
        <f>IF('1. oldal'!K74="","",'1. oldal'!K74)</f>
      </c>
      <c r="F14" s="1275"/>
      <c r="G14" s="1275"/>
      <c r="H14" s="1275"/>
      <c r="I14" s="1275"/>
      <c r="J14" s="1275"/>
      <c r="K14" s="1275"/>
      <c r="L14" s="1275"/>
      <c r="M14" s="1275"/>
    </row>
    <row r="15" spans="1:13" ht="15">
      <c r="A15" s="311"/>
      <c r="B15" s="311"/>
      <c r="C15" s="311"/>
      <c r="D15" s="311"/>
      <c r="E15" s="311"/>
      <c r="F15" s="311"/>
      <c r="G15" s="311"/>
      <c r="H15" s="311"/>
      <c r="J15" s="240"/>
      <c r="K15" s="240"/>
      <c r="L15" s="240"/>
      <c r="M15" s="240"/>
    </row>
    <row r="16" spans="1:13" ht="30" customHeight="1">
      <c r="A16" s="1272" t="s">
        <v>364</v>
      </c>
      <c r="B16" s="1272"/>
      <c r="C16" s="1272"/>
      <c r="D16" s="1272"/>
      <c r="E16" s="1272"/>
      <c r="J16" s="669" t="s">
        <v>365</v>
      </c>
      <c r="K16" s="1273" t="s">
        <v>132</v>
      </c>
      <c r="L16" s="1273"/>
      <c r="M16" s="1273"/>
    </row>
    <row r="17" spans="1:17" ht="28.5" customHeight="1">
      <c r="A17" s="474" t="s">
        <v>241</v>
      </c>
      <c r="B17" s="1280" t="s">
        <v>455</v>
      </c>
      <c r="C17" s="1280"/>
      <c r="D17" s="1280"/>
      <c r="E17" s="1280"/>
      <c r="F17" s="319"/>
      <c r="G17" s="319"/>
      <c r="H17" s="319"/>
      <c r="I17" s="319"/>
      <c r="J17" s="670">
        <f>J18+J19+J20+J21+J22</f>
        <v>0</v>
      </c>
      <c r="K17" s="1269"/>
      <c r="L17" s="1269"/>
      <c r="M17" s="1269"/>
      <c r="N17" s="531">
        <f>IF(J17&lt;0,"NEM LEHET NEGATÍV","")</f>
      </c>
      <c r="Q17" s="240">
        <f aca="true" t="shared" si="0" ref="Q17:Q22">IF(N17="",0,1)</f>
        <v>0</v>
      </c>
    </row>
    <row r="18" spans="1:17" ht="29.25" customHeight="1">
      <c r="A18" s="480" t="s">
        <v>243</v>
      </c>
      <c r="B18" s="1268" t="s">
        <v>457</v>
      </c>
      <c r="C18" s="1268"/>
      <c r="D18" s="1268"/>
      <c r="E18" s="1268"/>
      <c r="F18" s="477"/>
      <c r="G18" s="477"/>
      <c r="H18" s="477"/>
      <c r="I18" s="477"/>
      <c r="J18" s="671"/>
      <c r="K18" s="1269"/>
      <c r="L18" s="1269"/>
      <c r="M18" s="1269"/>
      <c r="N18" s="479">
        <f>IF(J18=ROUND((J18),0),"","Csak egész számot írtat be")</f>
      </c>
      <c r="Q18" s="240">
        <f t="shared" si="0"/>
        <v>0</v>
      </c>
    </row>
    <row r="19" spans="1:17" ht="15" customHeight="1">
      <c r="A19" s="474" t="s">
        <v>245</v>
      </c>
      <c r="B19" s="1268" t="s">
        <v>458</v>
      </c>
      <c r="C19" s="1268"/>
      <c r="D19" s="1268"/>
      <c r="E19" s="1268"/>
      <c r="F19" s="319"/>
      <c r="G19" s="319"/>
      <c r="H19" s="319"/>
      <c r="I19" s="319"/>
      <c r="J19" s="672"/>
      <c r="K19" s="1269"/>
      <c r="L19" s="1269"/>
      <c r="M19" s="1269"/>
      <c r="N19" s="479">
        <f>IF(J19=ROUND((J19),0),"","Csak egész számot írtat be")</f>
      </c>
      <c r="O19" s="536"/>
      <c r="P19" s="531"/>
      <c r="Q19" s="240">
        <f t="shared" si="0"/>
        <v>0</v>
      </c>
    </row>
    <row r="20" spans="1:17" ht="15" customHeight="1">
      <c r="A20" s="480" t="s">
        <v>247</v>
      </c>
      <c r="B20" s="1268" t="s">
        <v>456</v>
      </c>
      <c r="C20" s="1268"/>
      <c r="D20" s="1268"/>
      <c r="E20" s="1268"/>
      <c r="F20" s="477"/>
      <c r="G20" s="477"/>
      <c r="H20" s="477"/>
      <c r="I20" s="477"/>
      <c r="J20" s="671"/>
      <c r="K20" s="1269"/>
      <c r="L20" s="1269"/>
      <c r="M20" s="1269"/>
      <c r="N20" s="479">
        <f>IF(J20=ROUND((J20),0),"","Csak egész számot írtat be")</f>
      </c>
      <c r="O20" s="264"/>
      <c r="Q20" s="240">
        <f t="shared" si="0"/>
        <v>0</v>
      </c>
    </row>
    <row r="21" spans="1:17" ht="31.5" customHeight="1">
      <c r="A21" s="482" t="s">
        <v>248</v>
      </c>
      <c r="B21" s="1278" t="s">
        <v>459</v>
      </c>
      <c r="C21" s="1278"/>
      <c r="D21" s="1278"/>
      <c r="E21" s="1278"/>
      <c r="F21" s="311"/>
      <c r="G21" s="311"/>
      <c r="H21" s="311"/>
      <c r="I21" s="311"/>
      <c r="J21" s="673"/>
      <c r="K21" s="1269"/>
      <c r="L21" s="1269"/>
      <c r="M21" s="1269"/>
      <c r="N21" s="479">
        <f>IF(J21=ROUND((J21),0),"","Csak egész számot írtat be")</f>
      </c>
      <c r="Q21" s="240">
        <f t="shared" si="0"/>
        <v>0</v>
      </c>
    </row>
    <row r="22" spans="1:17" ht="45" customHeight="1">
      <c r="A22" s="482" t="s">
        <v>254</v>
      </c>
      <c r="B22" s="1278" t="s">
        <v>435</v>
      </c>
      <c r="C22" s="1278"/>
      <c r="D22" s="1278"/>
      <c r="E22" s="1278"/>
      <c r="F22" s="240"/>
      <c r="G22" s="240"/>
      <c r="H22" s="240"/>
      <c r="I22" s="240"/>
      <c r="J22" s="674"/>
      <c r="K22" s="1269"/>
      <c r="L22" s="1269"/>
      <c r="M22" s="1269"/>
      <c r="N22" s="479">
        <f>IF(J22=ROUND((J22),0),"","Csak egész számot írtat be")</f>
      </c>
      <c r="Q22" s="240">
        <f t="shared" si="0"/>
        <v>0</v>
      </c>
    </row>
    <row r="23" spans="2:17" ht="15">
      <c r="B23" s="484" t="str">
        <f>C_LAP!B25</f>
        <v>Készítette:</v>
      </c>
      <c r="C23" s="485" t="str">
        <f>C_LAP!C25</f>
        <v>www.iparuzes.hu                   .</v>
      </c>
      <c r="Q23" s="240">
        <f>SUM(Q17:Q22)</f>
        <v>0</v>
      </c>
    </row>
    <row r="25" spans="1:13" ht="15.75">
      <c r="A25" s="1276" t="str">
        <f>'2. oldal'!B81</f>
        <v>Szabadszállás</v>
      </c>
      <c r="B25" s="1276"/>
      <c r="C25" s="1276"/>
      <c r="D25" s="427">
        <f>'2. oldal'!E81</f>
        <v>2013</v>
      </c>
      <c r="E25" s="486" t="s">
        <v>134</v>
      </c>
      <c r="F25" s="486"/>
      <c r="G25" s="486"/>
      <c r="H25" s="486"/>
      <c r="I25" s="486"/>
      <c r="J25" s="427">
        <f>'2. oldal'!H81</f>
        <v>0</v>
      </c>
      <c r="K25" s="486" t="s">
        <v>135</v>
      </c>
      <c r="L25" s="427">
        <f>'2. oldal'!N81</f>
        <v>0</v>
      </c>
      <c r="M25" s="250" t="s">
        <v>210</v>
      </c>
    </row>
    <row r="28" spans="10:13" ht="15">
      <c r="J28" s="487"/>
      <c r="K28" s="487"/>
      <c r="L28" s="487"/>
      <c r="M28" s="487"/>
    </row>
    <row r="29" spans="10:13" ht="15">
      <c r="J29" s="1277" t="s">
        <v>388</v>
      </c>
      <c r="K29" s="1277"/>
      <c r="L29" s="1277"/>
      <c r="M29" s="1277"/>
    </row>
    <row r="39" spans="1:2" ht="15">
      <c r="A39" s="298">
        <f>IF(B39="",0,1)</f>
        <v>0</v>
      </c>
      <c r="B39" s="235"/>
    </row>
    <row r="40" spans="1:2" ht="15">
      <c r="A40" s="298">
        <f>IF(B40="",0,1)</f>
        <v>0</v>
      </c>
      <c r="B40" s="235"/>
    </row>
    <row r="41" spans="1:2" ht="15">
      <c r="A41" s="298">
        <f>IF(B41="",0,1)</f>
        <v>0</v>
      </c>
      <c r="B41" s="235">
        <f>IF('x4_ oldal'!A68=0,"","1-4. oldal hibás!")</f>
      </c>
    </row>
    <row r="42" spans="1:2" ht="15">
      <c r="A42" s="298">
        <f>IF(B42="",0,1)</f>
        <v>0</v>
      </c>
      <c r="B42" s="235">
        <f>IF(Q23=0,""," A lapon nagatív és/vagy tört szám van!")</f>
      </c>
    </row>
    <row r="43" spans="1:2" ht="15">
      <c r="A43" s="298"/>
      <c r="B43" s="235"/>
    </row>
    <row r="44" spans="1:2" ht="15">
      <c r="A44" s="298"/>
      <c r="B44" s="235"/>
    </row>
    <row r="45" spans="1:13" ht="15.75">
      <c r="A45" s="298">
        <f>SUM(A39:A44)</f>
        <v>0</v>
      </c>
      <c r="B45" s="301" t="str">
        <f>IF(A45=0," E L L E N Ő R Z Ö T T "," H I B Á S")</f>
        <v> E L L E N Ő R Z Ö T T </v>
      </c>
      <c r="D45" s="334" t="str">
        <f>'1. oldal'!M131</f>
        <v> VAN HIBÁS LAP !</v>
      </c>
      <c r="M45" s="298">
        <f>IF(B45=" E L L E N Ő R Z Ö T T ",0,1)</f>
        <v>0</v>
      </c>
    </row>
    <row r="47" spans="1:3" ht="31.5" customHeight="1">
      <c r="A47" s="489"/>
      <c r="C47" s="490"/>
    </row>
  </sheetData>
  <sheetProtection password="C1DD" sheet="1" objects="1" scenarios="1"/>
  <mergeCells count="30">
    <mergeCell ref="A12:M12"/>
    <mergeCell ref="A13:B13"/>
    <mergeCell ref="B19:E19"/>
    <mergeCell ref="K19:M19"/>
    <mergeCell ref="B17:E17"/>
    <mergeCell ref="K17:M17"/>
    <mergeCell ref="K16:M16"/>
    <mergeCell ref="A14:D14"/>
    <mergeCell ref="E14:M14"/>
    <mergeCell ref="B18:E18"/>
    <mergeCell ref="K18:M18"/>
    <mergeCell ref="A16:E16"/>
    <mergeCell ref="A1:M1"/>
    <mergeCell ref="A9:M9"/>
    <mergeCell ref="C13:M13"/>
    <mergeCell ref="D10:M10"/>
    <mergeCell ref="A11:C11"/>
    <mergeCell ref="A2:M2"/>
    <mergeCell ref="A6:M6"/>
    <mergeCell ref="A7:M7"/>
    <mergeCell ref="A8:M8"/>
    <mergeCell ref="A10:C10"/>
    <mergeCell ref="A25:C25"/>
    <mergeCell ref="J29:M29"/>
    <mergeCell ref="B20:E20"/>
    <mergeCell ref="K20:M20"/>
    <mergeCell ref="B21:E21"/>
    <mergeCell ref="K21:M21"/>
    <mergeCell ref="B22:E22"/>
    <mergeCell ref="K22:M22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IV1">
      <selection activeCell="M1" sqref="A1:IV16384"/>
    </sheetView>
  </sheetViews>
  <sheetFormatPr defaultColWidth="0" defaultRowHeight="12.75"/>
  <cols>
    <col min="1" max="12" width="0" style="538" hidden="1" customWidth="1"/>
    <col min="13" max="13" width="3.28125" style="538" hidden="1" customWidth="1"/>
    <col min="14" max="14" width="0" style="538" hidden="1" customWidth="1"/>
  </cols>
  <sheetData>
    <row r="1" spans="1:20" ht="20.2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466" t="s">
        <v>191</v>
      </c>
      <c r="N1" s="240"/>
      <c r="O1" s="240"/>
      <c r="P1" s="240"/>
      <c r="Q1" s="240"/>
      <c r="R1" s="240"/>
      <c r="S1" s="250"/>
      <c r="T1" s="250"/>
    </row>
    <row r="2" spans="1:20" ht="19.5">
      <c r="A2" s="1285" t="s">
        <v>460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240"/>
      <c r="O2" s="240"/>
      <c r="P2" s="240"/>
      <c r="Q2" s="240"/>
      <c r="R2" s="240"/>
      <c r="S2" s="250"/>
      <c r="T2" s="250"/>
    </row>
    <row r="3" spans="1:20" ht="19.5">
      <c r="A3" s="1285" t="s">
        <v>426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240"/>
      <c r="O3" s="240"/>
      <c r="P3" s="240"/>
      <c r="Q3" s="240"/>
      <c r="R3" s="240"/>
      <c r="S3" s="250"/>
      <c r="T3" s="250"/>
    </row>
    <row r="4" spans="1:20" ht="1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0"/>
      <c r="O4" s="240"/>
      <c r="P4" s="240"/>
      <c r="Q4" s="240"/>
      <c r="R4" s="240"/>
      <c r="S4" s="250"/>
      <c r="T4" s="250"/>
    </row>
    <row r="5" spans="1:20" ht="15">
      <c r="A5" s="539">
        <v>2008</v>
      </c>
      <c r="B5" s="540" t="str">
        <f>'A.LAP'!B5</f>
        <v>. évben kezdődő adóévről a/az</v>
      </c>
      <c r="C5" s="469">
        <f>'A.LAP'!C5</f>
        <v>0</v>
      </c>
      <c r="D5" s="468" t="s">
        <v>467</v>
      </c>
      <c r="E5" s="468"/>
      <c r="F5" s="468"/>
      <c r="G5" s="468"/>
      <c r="H5" s="468"/>
      <c r="I5" s="468"/>
      <c r="J5" s="468"/>
      <c r="K5" s="468"/>
      <c r="L5" s="468"/>
      <c r="M5" s="470"/>
      <c r="N5" s="240"/>
      <c r="O5" s="240"/>
      <c r="P5" s="240"/>
      <c r="Q5" s="240"/>
      <c r="R5" s="240"/>
      <c r="S5" s="250"/>
      <c r="T5" s="250"/>
    </row>
    <row r="6" spans="1:20" ht="15">
      <c r="A6" s="1482" t="s">
        <v>468</v>
      </c>
      <c r="B6" s="1482"/>
      <c r="C6" s="1482"/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N6" s="240"/>
      <c r="O6" s="240"/>
      <c r="P6" s="240"/>
      <c r="Q6" s="240"/>
      <c r="R6" s="240"/>
      <c r="S6" s="250"/>
      <c r="T6" s="250"/>
    </row>
    <row r="7" spans="1:20" ht="16.5">
      <c r="A7" s="1327" t="s">
        <v>390</v>
      </c>
      <c r="B7" s="1327"/>
      <c r="C7" s="1327"/>
      <c r="D7" s="1327"/>
      <c r="E7" s="1327"/>
      <c r="F7" s="1327"/>
      <c r="G7" s="1327"/>
      <c r="H7" s="1327"/>
      <c r="I7" s="1327"/>
      <c r="J7" s="1327"/>
      <c r="K7" s="1327"/>
      <c r="L7" s="1327"/>
      <c r="M7" s="1327"/>
      <c r="N7" s="240"/>
      <c r="O7" s="240"/>
      <c r="P7" s="240"/>
      <c r="Q7" s="240"/>
      <c r="R7" s="240"/>
      <c r="S7" s="250"/>
      <c r="T7" s="250"/>
    </row>
    <row r="8" spans="1:20" ht="1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40"/>
      <c r="O8" s="240"/>
      <c r="P8" s="240"/>
      <c r="Q8" s="240"/>
      <c r="R8" s="240"/>
      <c r="S8" s="250"/>
      <c r="T8" s="250"/>
    </row>
    <row r="9" spans="1:20" ht="15">
      <c r="A9" s="1479" t="s">
        <v>362</v>
      </c>
      <c r="B9" s="1479"/>
      <c r="C9" s="1479"/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240"/>
      <c r="O9" s="240"/>
      <c r="P9" s="240"/>
      <c r="Q9" s="240"/>
      <c r="R9" s="240"/>
      <c r="S9" s="250"/>
      <c r="T9" s="250"/>
    </row>
    <row r="10" spans="1:20" ht="15.75">
      <c r="A10" s="1284" t="str">
        <f>C_LAP!A10</f>
        <v>I. Adóalany</v>
      </c>
      <c r="B10" s="1284"/>
      <c r="C10" s="1284"/>
      <c r="D10" s="1284"/>
      <c r="E10" s="1284"/>
      <c r="F10" s="1284"/>
      <c r="G10" s="1284"/>
      <c r="H10" s="1284"/>
      <c r="I10" s="1284"/>
      <c r="J10" s="1284"/>
      <c r="K10" s="1284"/>
      <c r="L10" s="1284"/>
      <c r="M10" s="1284"/>
      <c r="N10" s="240"/>
      <c r="O10" s="240"/>
      <c r="P10" s="240"/>
      <c r="Q10" s="240"/>
      <c r="R10" s="240"/>
      <c r="S10" s="250"/>
      <c r="T10" s="250"/>
    </row>
    <row r="11" spans="1:20" ht="15.75">
      <c r="A11" s="1270" t="s">
        <v>202</v>
      </c>
      <c r="B11" s="1270"/>
      <c r="C11" s="1323">
        <f>'A.LAP'!C13</f>
        <v>0</v>
      </c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240"/>
      <c r="O11" s="240"/>
      <c r="P11" s="240"/>
      <c r="Q11" s="240"/>
      <c r="R11" s="240"/>
      <c r="S11" s="250"/>
      <c r="T11" s="250"/>
    </row>
    <row r="12" spans="1:20" ht="15">
      <c r="A12" s="1274" t="s">
        <v>428</v>
      </c>
      <c r="B12" s="1274"/>
      <c r="C12" s="1274"/>
      <c r="D12" s="1274"/>
      <c r="E12" s="1275">
        <f>'A.LAP'!E14</f>
      </c>
      <c r="F12" s="1275"/>
      <c r="G12" s="1275"/>
      <c r="H12" s="1275"/>
      <c r="I12" s="1275"/>
      <c r="J12" s="1275"/>
      <c r="K12" s="1275"/>
      <c r="L12" s="1275"/>
      <c r="M12" s="1275"/>
      <c r="N12" s="240"/>
      <c r="O12" s="240"/>
      <c r="P12" s="240"/>
      <c r="Q12" s="240"/>
      <c r="R12" s="240"/>
      <c r="S12" s="250"/>
      <c r="T12" s="250"/>
    </row>
    <row r="13" spans="1:20" ht="15">
      <c r="A13" s="311"/>
      <c r="B13" s="311"/>
      <c r="C13" s="311"/>
      <c r="D13" s="311"/>
      <c r="E13" s="311"/>
      <c r="F13" s="311"/>
      <c r="G13" s="311"/>
      <c r="H13" s="311"/>
      <c r="I13" s="250"/>
      <c r="J13" s="311"/>
      <c r="K13" s="240"/>
      <c r="L13" s="240"/>
      <c r="M13" s="240"/>
      <c r="N13" s="240"/>
      <c r="O13" s="240"/>
      <c r="P13" s="240"/>
      <c r="Q13" s="240"/>
      <c r="R13" s="240"/>
      <c r="S13" s="250"/>
      <c r="T13" s="250"/>
    </row>
    <row r="14" spans="1:20" ht="409.5">
      <c r="A14" s="1480"/>
      <c r="B14" s="1480"/>
      <c r="C14" s="1480"/>
      <c r="D14" s="1480"/>
      <c r="E14" s="1480"/>
      <c r="F14" s="250"/>
      <c r="G14" s="250"/>
      <c r="H14" s="250"/>
      <c r="I14" s="250"/>
      <c r="J14" s="473" t="s">
        <v>365</v>
      </c>
      <c r="K14" s="1481" t="s">
        <v>132</v>
      </c>
      <c r="L14" s="1481"/>
      <c r="M14" s="1481"/>
      <c r="N14" s="240"/>
      <c r="O14" s="240"/>
      <c r="P14" s="240"/>
      <c r="Q14" s="240"/>
      <c r="R14" s="240"/>
      <c r="S14" s="250"/>
      <c r="T14" s="250"/>
    </row>
    <row r="15" spans="1:20" ht="15" customHeight="1">
      <c r="A15" s="474">
        <v>911</v>
      </c>
      <c r="B15" s="1478" t="s">
        <v>469</v>
      </c>
      <c r="C15" s="1478"/>
      <c r="D15" s="1478"/>
      <c r="E15" s="1478"/>
      <c r="F15" s="319"/>
      <c r="G15" s="319"/>
      <c r="H15" s="319"/>
      <c r="I15" s="319"/>
      <c r="J15" s="475">
        <f>SUM(J16:J20)</f>
        <v>0</v>
      </c>
      <c r="K15" s="1476"/>
      <c r="L15" s="1476"/>
      <c r="M15" s="1476"/>
      <c r="N15" s="531"/>
      <c r="O15" s="240"/>
      <c r="P15" s="240"/>
      <c r="Q15" s="240">
        <f aca="true" t="shared" si="0" ref="Q15:Q20">IF(N15="",0,1)</f>
        <v>0</v>
      </c>
      <c r="R15" s="240"/>
      <c r="S15" s="250"/>
      <c r="T15" s="250"/>
    </row>
    <row r="16" spans="1:20" ht="15" customHeight="1">
      <c r="A16" s="480">
        <v>9111</v>
      </c>
      <c r="B16" s="1477" t="s">
        <v>470</v>
      </c>
      <c r="C16" s="1477"/>
      <c r="D16" s="1477"/>
      <c r="E16" s="1477"/>
      <c r="F16" s="477"/>
      <c r="G16" s="477"/>
      <c r="H16" s="477"/>
      <c r="I16" s="477"/>
      <c r="J16" s="533"/>
      <c r="K16" s="1476"/>
      <c r="L16" s="1476"/>
      <c r="M16" s="1476"/>
      <c r="N16" s="479"/>
      <c r="O16" s="240"/>
      <c r="P16" s="240"/>
      <c r="Q16" s="240">
        <f t="shared" si="0"/>
        <v>0</v>
      </c>
      <c r="R16" s="240"/>
      <c r="S16" s="250"/>
      <c r="T16" s="250"/>
    </row>
    <row r="17" spans="1:20" ht="15" customHeight="1">
      <c r="A17" s="474">
        <v>9112</v>
      </c>
      <c r="B17" s="1477" t="s">
        <v>471</v>
      </c>
      <c r="C17" s="1477"/>
      <c r="D17" s="1477"/>
      <c r="E17" s="1477"/>
      <c r="F17" s="319"/>
      <c r="G17" s="319"/>
      <c r="H17" s="319"/>
      <c r="I17" s="319"/>
      <c r="J17" s="534"/>
      <c r="K17" s="1476"/>
      <c r="L17" s="1476"/>
      <c r="M17" s="1476"/>
      <c r="N17" s="479"/>
      <c r="O17" s="536"/>
      <c r="P17" s="531"/>
      <c r="Q17" s="240">
        <f t="shared" si="0"/>
        <v>0</v>
      </c>
      <c r="R17" s="240"/>
      <c r="S17" s="250"/>
      <c r="T17" s="250"/>
    </row>
    <row r="18" spans="1:20" ht="15" customHeight="1">
      <c r="A18" s="480">
        <v>9113</v>
      </c>
      <c r="B18" s="1477" t="s">
        <v>475</v>
      </c>
      <c r="C18" s="1477"/>
      <c r="D18" s="1477"/>
      <c r="E18" s="1477"/>
      <c r="F18" s="477"/>
      <c r="G18" s="477"/>
      <c r="H18" s="477"/>
      <c r="I18" s="477"/>
      <c r="J18" s="533"/>
      <c r="K18" s="1476"/>
      <c r="L18" s="1476"/>
      <c r="M18" s="1476"/>
      <c r="N18" s="479"/>
      <c r="O18" s="264"/>
      <c r="P18" s="240"/>
      <c r="Q18" s="240">
        <f t="shared" si="0"/>
        <v>0</v>
      </c>
      <c r="R18" s="240"/>
      <c r="S18" s="250"/>
      <c r="T18" s="250"/>
    </row>
    <row r="19" spans="1:20" ht="15" customHeight="1">
      <c r="A19" s="482">
        <v>9114</v>
      </c>
      <c r="B19" s="1278" t="s">
        <v>459</v>
      </c>
      <c r="C19" s="1278"/>
      <c r="D19" s="1278"/>
      <c r="E19" s="1278"/>
      <c r="F19" s="311"/>
      <c r="G19" s="311"/>
      <c r="H19" s="311"/>
      <c r="I19" s="311"/>
      <c r="J19" s="535"/>
      <c r="K19" s="1476"/>
      <c r="L19" s="1476"/>
      <c r="M19" s="1476"/>
      <c r="N19" s="479"/>
      <c r="O19" s="240"/>
      <c r="P19" s="240"/>
      <c r="Q19" s="240">
        <f t="shared" si="0"/>
        <v>0</v>
      </c>
      <c r="R19" s="240"/>
      <c r="S19" s="250"/>
      <c r="T19" s="250"/>
    </row>
    <row r="20" spans="1:20" ht="15" customHeight="1">
      <c r="A20" s="482">
        <v>9115</v>
      </c>
      <c r="B20" s="1278" t="s">
        <v>435</v>
      </c>
      <c r="C20" s="1278"/>
      <c r="D20" s="1278"/>
      <c r="E20" s="1278"/>
      <c r="F20" s="240"/>
      <c r="G20" s="240"/>
      <c r="H20" s="240"/>
      <c r="I20" s="240"/>
      <c r="J20" s="535"/>
      <c r="K20" s="1476"/>
      <c r="L20" s="1476"/>
      <c r="M20" s="1476"/>
      <c r="N20" s="479"/>
      <c r="O20" s="240"/>
      <c r="P20" s="240"/>
      <c r="Q20" s="240">
        <f t="shared" si="0"/>
        <v>0</v>
      </c>
      <c r="R20" s="240"/>
      <c r="S20" s="250"/>
      <c r="T20" s="250"/>
    </row>
    <row r="21" spans="1:20" ht="1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40"/>
      <c r="O21" s="240"/>
      <c r="P21" s="240"/>
      <c r="Q21" s="240">
        <f>SUM(Q15:Q20)</f>
        <v>0</v>
      </c>
      <c r="R21" s="240"/>
      <c r="S21" s="250"/>
      <c r="T21" s="250"/>
    </row>
    <row r="22" spans="1:20" ht="1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40"/>
      <c r="O22" s="240"/>
      <c r="P22" s="240"/>
      <c r="Q22" s="240"/>
      <c r="R22" s="240"/>
      <c r="S22" s="250"/>
      <c r="T22" s="250"/>
    </row>
    <row r="23" spans="1:18" s="250" customFormat="1" ht="15.75">
      <c r="A23" s="1276" t="str">
        <f>B_LAP!A27</f>
        <v>Szabadszállás</v>
      </c>
      <c r="B23" s="1276"/>
      <c r="C23" s="1276"/>
      <c r="D23" s="427">
        <f>B_LAP!D27</f>
        <v>2013</v>
      </c>
      <c r="E23" s="486" t="s">
        <v>134</v>
      </c>
      <c r="F23" s="486"/>
      <c r="G23" s="486"/>
      <c r="H23" s="486"/>
      <c r="I23" s="486"/>
      <c r="J23" s="427">
        <f>B_LAP!J27</f>
        <v>0</v>
      </c>
      <c r="K23" s="486" t="s">
        <v>135</v>
      </c>
      <c r="L23" s="427">
        <f>B_LAP!L27</f>
        <v>0</v>
      </c>
      <c r="M23" s="250" t="s">
        <v>210</v>
      </c>
      <c r="N23" s="240"/>
      <c r="O23" s="240"/>
      <c r="P23" s="240"/>
      <c r="Q23" s="240"/>
      <c r="R23" s="240"/>
    </row>
    <row r="24" spans="1:20" ht="1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40"/>
      <c r="O24" s="240"/>
      <c r="P24" s="240"/>
      <c r="Q24" s="240"/>
      <c r="R24" s="240"/>
      <c r="S24" s="250"/>
      <c r="T24" s="250"/>
    </row>
    <row r="25" spans="1:20" ht="1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40"/>
      <c r="O25" s="240"/>
      <c r="P25" s="240"/>
      <c r="Q25" s="240"/>
      <c r="R25" s="240"/>
      <c r="S25" s="250"/>
      <c r="T25" s="250"/>
    </row>
    <row r="26" spans="1:20" ht="15">
      <c r="A26" s="250"/>
      <c r="B26" s="250"/>
      <c r="C26" s="250"/>
      <c r="D26" s="250"/>
      <c r="E26" s="250"/>
      <c r="F26" s="250"/>
      <c r="G26" s="250"/>
      <c r="H26" s="250"/>
      <c r="I26" s="250"/>
      <c r="J26" s="487"/>
      <c r="K26" s="487"/>
      <c r="L26" s="487"/>
      <c r="M26" s="487"/>
      <c r="N26" s="240"/>
      <c r="O26" s="240"/>
      <c r="P26" s="240"/>
      <c r="Q26" s="240"/>
      <c r="R26" s="240"/>
      <c r="S26" s="250"/>
      <c r="T26" s="250"/>
    </row>
    <row r="27" spans="1:20" ht="15">
      <c r="A27" s="250"/>
      <c r="B27" s="250"/>
      <c r="C27" s="250"/>
      <c r="D27" s="250"/>
      <c r="E27" s="250"/>
      <c r="F27" s="250"/>
      <c r="G27" s="250"/>
      <c r="H27" s="250"/>
      <c r="I27" s="250"/>
      <c r="J27" s="541" t="s">
        <v>476</v>
      </c>
      <c r="K27" s="250"/>
      <c r="L27" s="250"/>
      <c r="M27" s="250"/>
      <c r="N27" s="240"/>
      <c r="O27" s="240"/>
      <c r="P27" s="240"/>
      <c r="Q27" s="240"/>
      <c r="R27" s="240"/>
      <c r="S27" s="250"/>
      <c r="T27" s="250"/>
    </row>
    <row r="28" spans="1:20" ht="1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40"/>
      <c r="O28" s="240"/>
      <c r="P28" s="240"/>
      <c r="Q28" s="240"/>
      <c r="R28" s="240"/>
      <c r="S28" s="250"/>
      <c r="T28" s="250"/>
    </row>
    <row r="29" spans="1:20" ht="1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40"/>
      <c r="O29" s="240"/>
      <c r="P29" s="240"/>
      <c r="Q29" s="240"/>
      <c r="R29" s="240"/>
      <c r="S29" s="250"/>
      <c r="T29" s="250"/>
    </row>
    <row r="30" spans="1:20" ht="1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40"/>
      <c r="O30" s="240"/>
      <c r="P30" s="240"/>
      <c r="Q30" s="240"/>
      <c r="R30" s="240"/>
      <c r="S30" s="250"/>
      <c r="T30" s="250"/>
    </row>
    <row r="31" spans="1:20" ht="9.75" customHeight="1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40"/>
      <c r="O31" s="240"/>
      <c r="P31" s="240"/>
      <c r="Q31" s="240"/>
      <c r="R31" s="240"/>
      <c r="S31" s="250"/>
      <c r="T31" s="250"/>
    </row>
    <row r="32" spans="1:20" ht="15" hidden="1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40"/>
      <c r="O32" s="240"/>
      <c r="P32" s="240"/>
      <c r="Q32" s="240"/>
      <c r="R32" s="240"/>
      <c r="S32" s="250"/>
      <c r="T32" s="250"/>
    </row>
    <row r="33" spans="1:20" ht="15" hidden="1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40"/>
      <c r="O33" s="240"/>
      <c r="P33" s="240"/>
      <c r="Q33" s="240"/>
      <c r="R33" s="240"/>
      <c r="S33" s="250"/>
      <c r="T33" s="250"/>
    </row>
    <row r="34" spans="1:20" ht="15" hidden="1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40"/>
      <c r="O34" s="240"/>
      <c r="P34" s="240"/>
      <c r="Q34" s="240"/>
      <c r="R34" s="240"/>
      <c r="S34" s="250"/>
      <c r="T34" s="250"/>
    </row>
    <row r="35" spans="1:20" ht="15" hidden="1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40"/>
      <c r="O35" s="240"/>
      <c r="P35" s="240"/>
      <c r="Q35" s="240"/>
      <c r="R35" s="240"/>
      <c r="S35" s="250"/>
      <c r="T35" s="250"/>
    </row>
    <row r="36" spans="1:20" ht="15" hidden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40"/>
      <c r="O36" s="240"/>
      <c r="P36" s="240"/>
      <c r="Q36" s="240"/>
      <c r="R36" s="240"/>
      <c r="S36" s="250"/>
      <c r="T36" s="250"/>
    </row>
    <row r="37" spans="1:20" ht="15" hidden="1">
      <c r="A37" s="298">
        <v>0</v>
      </c>
      <c r="B37" s="235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40"/>
      <c r="O37" s="240"/>
      <c r="P37" s="240"/>
      <c r="Q37" s="240"/>
      <c r="R37" s="240"/>
      <c r="S37" s="250"/>
      <c r="T37" s="250"/>
    </row>
    <row r="38" spans="1:20" ht="15">
      <c r="A38" s="298">
        <v>0</v>
      </c>
      <c r="B38" s="235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40"/>
      <c r="O38" s="240"/>
      <c r="P38" s="240"/>
      <c r="Q38" s="240"/>
      <c r="R38" s="240"/>
      <c r="S38" s="250"/>
      <c r="T38" s="250"/>
    </row>
    <row r="39" spans="1:20" ht="15">
      <c r="A39" s="298">
        <v>0</v>
      </c>
      <c r="B39" s="235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40"/>
      <c r="O39" s="240"/>
      <c r="P39" s="240"/>
      <c r="Q39" s="240"/>
      <c r="R39" s="240"/>
      <c r="S39" s="250"/>
      <c r="T39" s="250"/>
    </row>
    <row r="40" spans="1:20" ht="15">
      <c r="A40" s="298">
        <v>0</v>
      </c>
      <c r="B40" s="23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40"/>
      <c r="O40" s="240"/>
      <c r="P40" s="240"/>
      <c r="Q40" s="240"/>
      <c r="R40" s="240"/>
      <c r="S40" s="250"/>
      <c r="T40" s="250"/>
    </row>
    <row r="41" spans="1:20" ht="15">
      <c r="A41" s="298"/>
      <c r="B41" s="235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40"/>
      <c r="O41" s="240"/>
      <c r="P41" s="240"/>
      <c r="Q41" s="240"/>
      <c r="R41" s="240"/>
      <c r="S41" s="250"/>
      <c r="T41" s="250"/>
    </row>
    <row r="42" spans="1:20" ht="15">
      <c r="A42" s="298"/>
      <c r="B42" s="235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40"/>
      <c r="O42" s="240"/>
      <c r="P42" s="240"/>
      <c r="Q42" s="240"/>
      <c r="R42" s="240"/>
      <c r="S42" s="250"/>
      <c r="T42" s="250"/>
    </row>
    <row r="43" spans="1:20" ht="15.75">
      <c r="A43" s="298">
        <v>0</v>
      </c>
      <c r="B43" s="301" t="str">
        <f>IF(A43=0," E L L E N Ő R Z Ö T T "," H I B Á S")</f>
        <v> E L L E N Ő R Z Ö T T </v>
      </c>
      <c r="C43" s="250"/>
      <c r="D43" s="334"/>
      <c r="E43" s="250"/>
      <c r="F43" s="250"/>
      <c r="G43" s="250"/>
      <c r="H43" s="250"/>
      <c r="I43" s="250"/>
      <c r="J43" s="250"/>
      <c r="K43" s="250"/>
      <c r="L43" s="250"/>
      <c r="M43" s="298">
        <v>0</v>
      </c>
      <c r="N43" s="240"/>
      <c r="O43" s="240"/>
      <c r="P43" s="240"/>
      <c r="Q43" s="240"/>
      <c r="R43" s="240"/>
      <c r="S43" s="250"/>
      <c r="T43" s="250"/>
    </row>
    <row r="44" spans="1:20" ht="1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40"/>
      <c r="O44" s="240"/>
      <c r="P44" s="240"/>
      <c r="Q44" s="240"/>
      <c r="R44" s="240"/>
      <c r="S44" s="250"/>
      <c r="T44" s="250"/>
    </row>
  </sheetData>
  <sheetProtection password="C1DD" sheet="1" objects="1" scenarios="1"/>
  <mergeCells count="26">
    <mergeCell ref="A2:M2"/>
    <mergeCell ref="A3:M3"/>
    <mergeCell ref="A6:M6"/>
    <mergeCell ref="A7:M7"/>
    <mergeCell ref="A14:E14"/>
    <mergeCell ref="K14:M14"/>
    <mergeCell ref="A12:D12"/>
    <mergeCell ref="E12:M12"/>
    <mergeCell ref="B15:E15"/>
    <mergeCell ref="B17:E17"/>
    <mergeCell ref="K17:M17"/>
    <mergeCell ref="A9:C9"/>
    <mergeCell ref="D9:M9"/>
    <mergeCell ref="A10:M10"/>
    <mergeCell ref="A11:B11"/>
    <mergeCell ref="C11:M11"/>
    <mergeCell ref="K15:M15"/>
    <mergeCell ref="B16:E16"/>
    <mergeCell ref="K16:M16"/>
    <mergeCell ref="B18:E18"/>
    <mergeCell ref="K18:M18"/>
    <mergeCell ref="A23:C23"/>
    <mergeCell ref="B19:E19"/>
    <mergeCell ref="K19:M19"/>
    <mergeCell ref="B20:E20"/>
    <mergeCell ref="K20:M20"/>
  </mergeCells>
  <printOptions/>
  <pageMargins left="0.44027777777777777" right="0.3798611111111111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5"/>
  <sheetViews>
    <sheetView showGridLines="0"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1" max="2" width="2.7109375" style="852" customWidth="1"/>
    <col min="3" max="3" width="4.8515625" style="852" customWidth="1"/>
    <col min="4" max="4" width="7.421875" style="852" customWidth="1"/>
    <col min="5" max="5" width="7.57421875" style="852" customWidth="1"/>
    <col min="6" max="6" width="0.9921875" style="852" customWidth="1"/>
    <col min="7" max="7" width="7.00390625" style="852" customWidth="1"/>
    <col min="8" max="8" width="2.7109375" style="852" customWidth="1"/>
    <col min="9" max="9" width="15.00390625" style="852" customWidth="1"/>
    <col min="10" max="10" width="2.8515625" style="852" customWidth="1"/>
    <col min="11" max="11" width="5.140625" style="852" customWidth="1"/>
    <col min="12" max="12" width="3.8515625" style="852" customWidth="1"/>
    <col min="13" max="13" width="3.57421875" style="852" customWidth="1"/>
    <col min="14" max="14" width="12.00390625" style="852" customWidth="1"/>
    <col min="15" max="15" width="9.28125" style="852" customWidth="1"/>
    <col min="16" max="17" width="9.140625" style="852" customWidth="1"/>
    <col min="18" max="18" width="0" style="852" hidden="1" customWidth="1"/>
    <col min="19" max="19" width="11.00390625" style="852" customWidth="1"/>
    <col min="20" max="22" width="9.140625" style="852" customWidth="1"/>
    <col min="23" max="23" width="0" style="852" hidden="1" customWidth="1"/>
    <col min="24" max="16384" width="9.140625" style="852" customWidth="1"/>
  </cols>
  <sheetData>
    <row r="1" ht="20.25">
      <c r="O1" s="853" t="s">
        <v>556</v>
      </c>
    </row>
    <row r="2" spans="1:15" ht="18.75">
      <c r="A2" s="1524" t="s">
        <v>557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</row>
    <row r="3" spans="1:15" ht="16.5">
      <c r="A3" s="1525" t="s">
        <v>558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5"/>
      <c r="L3" s="1525"/>
      <c r="M3" s="1525"/>
      <c r="N3" s="1525"/>
      <c r="O3" s="1525"/>
    </row>
    <row r="4" spans="1:15" ht="15">
      <c r="A4" s="1526" t="s">
        <v>559</v>
      </c>
      <c r="B4" s="1526"/>
      <c r="C4" s="1526"/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  <c r="O4" s="1526"/>
    </row>
    <row r="5" spans="1:15" ht="15">
      <c r="A5" s="1526" t="s">
        <v>560</v>
      </c>
      <c r="B5" s="1526"/>
      <c r="C5" s="1526"/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1526"/>
      <c r="O5" s="1526"/>
    </row>
    <row r="6" ht="5.25" customHeight="1"/>
    <row r="7" spans="1:15" ht="19.5">
      <c r="A7" s="1527" t="s">
        <v>561</v>
      </c>
      <c r="B7" s="1528"/>
      <c r="C7" s="1528"/>
      <c r="D7" s="1528"/>
      <c r="E7" s="1528"/>
      <c r="F7" s="1528"/>
      <c r="G7" s="1528"/>
      <c r="H7" s="1528"/>
      <c r="I7" s="1528"/>
      <c r="J7" s="1528"/>
      <c r="K7" s="1528"/>
      <c r="L7" s="1528"/>
      <c r="M7" s="1528"/>
      <c r="N7" s="1528"/>
      <c r="O7" s="1529"/>
    </row>
    <row r="8" spans="1:15" ht="12.75">
      <c r="A8" s="1500" t="s">
        <v>562</v>
      </c>
      <c r="B8" s="1501"/>
      <c r="C8" s="1501"/>
      <c r="D8" s="1501"/>
      <c r="E8" s="1501"/>
      <c r="F8" s="1501"/>
      <c r="G8" s="1501"/>
      <c r="H8" s="1501"/>
      <c r="I8" s="1501"/>
      <c r="J8" s="1501"/>
      <c r="K8" s="1501"/>
      <c r="L8" s="1501"/>
      <c r="M8" s="1501"/>
      <c r="N8" s="1501"/>
      <c r="O8" s="1502"/>
    </row>
    <row r="9" spans="1:15" ht="12.75">
      <c r="A9" s="1500" t="s">
        <v>563</v>
      </c>
      <c r="B9" s="1501"/>
      <c r="C9" s="1501"/>
      <c r="D9" s="1501"/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2"/>
    </row>
    <row r="10" spans="1:15" ht="19.5">
      <c r="A10" s="1503" t="s">
        <v>564</v>
      </c>
      <c r="B10" s="1504"/>
      <c r="C10" s="1504"/>
      <c r="D10" s="1504"/>
      <c r="E10" s="1504"/>
      <c r="F10" s="1504"/>
      <c r="G10" s="1504"/>
      <c r="H10" s="1504"/>
      <c r="I10" s="1504"/>
      <c r="J10" s="1504"/>
      <c r="K10" s="1504"/>
      <c r="L10" s="1504"/>
      <c r="M10" s="1504"/>
      <c r="N10" s="1504"/>
      <c r="O10" s="1505"/>
    </row>
    <row r="11" spans="1:15" ht="6.75" customHeight="1">
      <c r="A11" s="854"/>
      <c r="B11" s="855"/>
      <c r="C11" s="855"/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912"/>
    </row>
    <row r="12" spans="1:18" s="250" customFormat="1" ht="15">
      <c r="A12" s="1530" t="s">
        <v>361</v>
      </c>
      <c r="B12" s="1531"/>
      <c r="C12" s="1531"/>
      <c r="D12" s="1532"/>
      <c r="E12" s="1532"/>
      <c r="F12" s="1532"/>
      <c r="G12" s="1532"/>
      <c r="H12" s="1532"/>
      <c r="I12" s="1532"/>
      <c r="J12" s="1532"/>
      <c r="K12" s="1532"/>
      <c r="L12" s="1532"/>
      <c r="M12" s="1532"/>
      <c r="N12" s="1532"/>
      <c r="O12" s="1533"/>
      <c r="P12" s="240"/>
      <c r="Q12" s="240"/>
      <c r="R12" s="240"/>
    </row>
    <row r="13" spans="1:18" s="250" customFormat="1" ht="15">
      <c r="A13" s="1534" t="s">
        <v>391</v>
      </c>
      <c r="B13" s="1535"/>
      <c r="C13" s="1535"/>
      <c r="D13" s="1536"/>
      <c r="E13" s="1536"/>
      <c r="F13" s="1536"/>
      <c r="G13" s="1536"/>
      <c r="H13" s="1536"/>
      <c r="I13" s="1536"/>
      <c r="J13" s="1536"/>
      <c r="K13" s="1536"/>
      <c r="L13" s="1536"/>
      <c r="M13" s="1536"/>
      <c r="N13" s="1536"/>
      <c r="O13" s="1537"/>
      <c r="P13" s="240"/>
      <c r="Q13" s="240"/>
      <c r="R13" s="240"/>
    </row>
    <row r="14" spans="1:18" s="250" customFormat="1" ht="15.75">
      <c r="A14" s="1544">
        <f>'1. oldal'!K69</f>
        <v>0</v>
      </c>
      <c r="B14" s="1545"/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36"/>
      <c r="O14" s="1537"/>
      <c r="P14" s="240"/>
      <c r="Q14" s="240"/>
      <c r="R14" s="240"/>
    </row>
    <row r="15" spans="1:15" s="250" customFormat="1" ht="15.75">
      <c r="A15" s="1521" t="s">
        <v>202</v>
      </c>
      <c r="B15" s="1522"/>
      <c r="C15" s="1523"/>
      <c r="D15" s="1523"/>
      <c r="E15" s="1323">
        <f>IF('1. oldal'!T74="","",'1. oldal'!T74)</f>
        <v>0</v>
      </c>
      <c r="F15" s="1323"/>
      <c r="G15" s="1323"/>
      <c r="H15" s="1323"/>
      <c r="I15" s="1323"/>
      <c r="J15" s="1323"/>
      <c r="K15" s="1323"/>
      <c r="L15" s="1323"/>
      <c r="M15" s="1323"/>
      <c r="N15" s="1323"/>
      <c r="O15" s="1541"/>
    </row>
    <row r="16" spans="1:15" s="250" customFormat="1" ht="15">
      <c r="A16" s="1538" t="s">
        <v>428</v>
      </c>
      <c r="B16" s="1539"/>
      <c r="C16" s="1539"/>
      <c r="D16" s="1539"/>
      <c r="E16" s="1540"/>
      <c r="F16" s="1540"/>
      <c r="G16" s="1542">
        <f>'A.LAP'!E14</f>
      </c>
      <c r="H16" s="1542"/>
      <c r="I16" s="1542"/>
      <c r="J16" s="1542"/>
      <c r="K16" s="1542"/>
      <c r="L16" s="1542"/>
      <c r="M16" s="1542"/>
      <c r="N16" s="1542"/>
      <c r="O16" s="1543"/>
    </row>
    <row r="17" spans="1:15" s="857" customFormat="1" ht="3" customHeight="1">
      <c r="A17" s="858"/>
      <c r="B17" s="859"/>
      <c r="C17" s="859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1"/>
    </row>
    <row r="18" spans="1:15" s="857" customFormat="1" ht="12.75">
      <c r="A18" s="1506"/>
      <c r="B18" s="1507"/>
      <c r="C18" s="1507"/>
      <c r="D18" s="1507"/>
      <c r="E18" s="1507"/>
      <c r="F18" s="1507"/>
      <c r="G18" s="1507"/>
      <c r="H18" s="1507"/>
      <c r="I18" s="1508"/>
      <c r="J18" s="1508"/>
      <c r="K18" s="1508"/>
      <c r="L18" s="1508"/>
      <c r="M18" s="1508"/>
      <c r="N18" s="1508"/>
      <c r="O18" s="1509"/>
    </row>
    <row r="19" spans="1:15" ht="3" customHeight="1">
      <c r="A19" s="862"/>
      <c r="B19" s="863"/>
      <c r="C19" s="863"/>
      <c r="D19" s="863"/>
      <c r="E19" s="863"/>
      <c r="F19" s="863"/>
      <c r="G19" s="863"/>
      <c r="H19" s="863"/>
      <c r="I19" s="864"/>
      <c r="J19" s="864"/>
      <c r="K19" s="864"/>
      <c r="L19" s="864"/>
      <c r="M19" s="864"/>
      <c r="N19" s="864"/>
      <c r="O19" s="865"/>
    </row>
    <row r="20" ht="9" customHeight="1">
      <c r="A20" s="866"/>
    </row>
    <row r="21" spans="1:19" ht="18.75">
      <c r="A21" s="1510" t="s">
        <v>100</v>
      </c>
      <c r="B21" s="1511"/>
      <c r="C21" s="1511"/>
      <c r="D21" s="1511"/>
      <c r="E21" s="1511"/>
      <c r="F21" s="1511"/>
      <c r="G21" s="1511"/>
      <c r="H21" s="1511"/>
      <c r="I21" s="1511"/>
      <c r="J21" s="1511"/>
      <c r="K21" s="1511"/>
      <c r="L21" s="1511"/>
      <c r="M21" s="1512"/>
      <c r="N21" s="1519" t="s">
        <v>365</v>
      </c>
      <c r="O21" s="1519" t="s">
        <v>132</v>
      </c>
      <c r="R21" s="867"/>
      <c r="S21" s="852" t="s">
        <v>565</v>
      </c>
    </row>
    <row r="22" spans="1:24" ht="12.75">
      <c r="A22" s="1513"/>
      <c r="B22" s="1514"/>
      <c r="C22" s="1514"/>
      <c r="D22" s="1514"/>
      <c r="E22" s="1514"/>
      <c r="F22" s="1514"/>
      <c r="G22" s="1514"/>
      <c r="H22" s="1514"/>
      <c r="I22" s="1514"/>
      <c r="J22" s="1514"/>
      <c r="K22" s="1514"/>
      <c r="L22" s="1514"/>
      <c r="M22" s="1515"/>
      <c r="N22" s="1520"/>
      <c r="O22" s="1519"/>
      <c r="X22" s="868">
        <f>N25+N26+N30+N31+N32+N33+N34+N36</f>
        <v>0</v>
      </c>
    </row>
    <row r="23" spans="1:15" ht="12.75">
      <c r="A23" s="1516"/>
      <c r="B23" s="1517"/>
      <c r="C23" s="1517"/>
      <c r="D23" s="1517"/>
      <c r="E23" s="1517"/>
      <c r="F23" s="1517"/>
      <c r="G23" s="1517"/>
      <c r="H23" s="1517"/>
      <c r="I23" s="1517"/>
      <c r="J23" s="1517"/>
      <c r="K23" s="1517"/>
      <c r="L23" s="1517"/>
      <c r="M23" s="1518"/>
      <c r="N23" s="1520"/>
      <c r="O23" s="1519"/>
    </row>
    <row r="24" spans="1:15" ht="18" customHeight="1">
      <c r="A24" s="869" t="s">
        <v>241</v>
      </c>
      <c r="B24" s="870"/>
      <c r="C24" s="870"/>
      <c r="D24" s="1487" t="s">
        <v>566</v>
      </c>
      <c r="E24" s="1487"/>
      <c r="F24" s="1487"/>
      <c r="G24" s="1487"/>
      <c r="H24" s="1487"/>
      <c r="I24" s="1487"/>
      <c r="J24" s="1487"/>
      <c r="K24" s="1487"/>
      <c r="L24" s="1487"/>
      <c r="M24" s="1488"/>
      <c r="N24" s="871">
        <f>'2. oldal'!H44</f>
        <v>0</v>
      </c>
      <c r="O24" s="872"/>
    </row>
    <row r="25" spans="1:16" ht="18" customHeight="1">
      <c r="A25" s="873"/>
      <c r="B25" s="874" t="s">
        <v>567</v>
      </c>
      <c r="C25" s="870"/>
      <c r="D25" s="1487" t="s">
        <v>568</v>
      </c>
      <c r="E25" s="1487"/>
      <c r="F25" s="1487"/>
      <c r="G25" s="1487"/>
      <c r="H25" s="1487"/>
      <c r="I25" s="1487"/>
      <c r="J25" s="1487"/>
      <c r="K25" s="1487"/>
      <c r="L25" s="1487"/>
      <c r="M25" s="1488"/>
      <c r="N25" s="875"/>
      <c r="O25" s="872">
        <f>IF(P25="","","HIBA!")</f>
      </c>
      <c r="P25" s="876">
        <f>IF(N25&gt;N24,"Max a fizetendő adó!","")</f>
      </c>
    </row>
    <row r="26" spans="1:23" ht="25.5" customHeight="1">
      <c r="A26" s="877" t="s">
        <v>243</v>
      </c>
      <c r="B26" s="878"/>
      <c r="C26" s="879"/>
      <c r="D26" s="1483" t="s">
        <v>569</v>
      </c>
      <c r="E26" s="1495"/>
      <c r="F26" s="1495"/>
      <c r="G26" s="1495"/>
      <c r="H26" s="1495"/>
      <c r="I26" s="1495"/>
      <c r="J26" s="1495"/>
      <c r="K26" s="1495"/>
      <c r="L26" s="1495"/>
      <c r="M26" s="1496"/>
      <c r="N26" s="875"/>
      <c r="O26" s="872">
        <f>IF(P26="","","HIBA!")</f>
      </c>
      <c r="P26" s="876">
        <f>IF(T26&gt;0,"Max 10% lehet","")</f>
      </c>
      <c r="S26" s="852">
        <f>N25/10</f>
        <v>0</v>
      </c>
      <c r="T26" s="868">
        <f>-S26+N26</f>
        <v>0</v>
      </c>
      <c r="W26" s="852">
        <f>IF(N28&gt;0,1,0)</f>
        <v>0</v>
      </c>
    </row>
    <row r="27" spans="1:15" ht="25.5" customHeight="1">
      <c r="A27" s="880"/>
      <c r="B27" s="881" t="s">
        <v>570</v>
      </c>
      <c r="C27" s="856"/>
      <c r="D27" s="1483" t="s">
        <v>571</v>
      </c>
      <c r="E27" s="1483"/>
      <c r="F27" s="1483"/>
      <c r="G27" s="1483"/>
      <c r="H27" s="1483"/>
      <c r="I27" s="1483"/>
      <c r="J27" s="1483"/>
      <c r="K27" s="1483"/>
      <c r="L27" s="1483"/>
      <c r="M27" s="1484"/>
      <c r="N27" s="871">
        <f>IF(N26=0,0,MIN(N26,1000000))</f>
        <v>0</v>
      </c>
      <c r="O27" s="872">
        <f>IF(P27="","","HIBA!")</f>
      </c>
    </row>
    <row r="28" spans="1:16" ht="25.5" customHeight="1">
      <c r="A28" s="877" t="s">
        <v>245</v>
      </c>
      <c r="B28" s="856"/>
      <c r="C28" s="856"/>
      <c r="D28" s="1497" t="s">
        <v>572</v>
      </c>
      <c r="E28" s="1495"/>
      <c r="F28" s="1495"/>
      <c r="G28" s="1495"/>
      <c r="H28" s="1495"/>
      <c r="I28" s="1495"/>
      <c r="J28" s="1495"/>
      <c r="K28" s="1495"/>
      <c r="L28" s="1495"/>
      <c r="M28" s="1496"/>
      <c r="N28" s="882">
        <f>N29+N34+N35</f>
        <v>0</v>
      </c>
      <c r="O28" s="872">
        <f>IF(N27=N28,"","3.&lt;2.1")</f>
      </c>
      <c r="P28" s="876">
        <f>IF(N28&gt;N27,"Nem lehet nagyobb 2.1 értékénél!","")</f>
      </c>
    </row>
    <row r="29" spans="1:20" ht="36" customHeight="1">
      <c r="A29" s="880"/>
      <c r="B29" s="881" t="s">
        <v>573</v>
      </c>
      <c r="C29" s="856"/>
      <c r="D29" s="1498" t="s">
        <v>574</v>
      </c>
      <c r="E29" s="1498"/>
      <c r="F29" s="1498"/>
      <c r="G29" s="1498"/>
      <c r="H29" s="1498"/>
      <c r="I29" s="1498"/>
      <c r="J29" s="1498"/>
      <c r="K29" s="1498"/>
      <c r="L29" s="1498"/>
      <c r="M29" s="1499"/>
      <c r="N29" s="871">
        <f>N30+N31+N32+N33</f>
        <v>0</v>
      </c>
      <c r="O29" s="872">
        <f aca="true" t="shared" si="0" ref="O29:O36">IF(P29="","","HIBA!")</f>
      </c>
      <c r="P29" s="876">
        <f>IF(T29&gt;=0,"","Max 2.1  85%-a lehet")</f>
      </c>
      <c r="R29" s="852">
        <f>R30+R31+R32+R33</f>
        <v>0</v>
      </c>
      <c r="S29" s="883">
        <f>ROUND((N27*0.85),0)</f>
        <v>0</v>
      </c>
      <c r="T29" s="868">
        <f>-N29+S29</f>
        <v>0</v>
      </c>
    </row>
    <row r="30" spans="1:19" ht="29.25" customHeight="1">
      <c r="A30" s="884"/>
      <c r="B30" s="885"/>
      <c r="C30" s="885" t="s">
        <v>575</v>
      </c>
      <c r="D30" s="1485" t="s">
        <v>576</v>
      </c>
      <c r="E30" s="1485"/>
      <c r="F30" s="1485"/>
      <c r="G30" s="1485"/>
      <c r="H30" s="1485"/>
      <c r="I30" s="1485"/>
      <c r="J30" s="1485"/>
      <c r="K30" s="1485"/>
      <c r="L30" s="1485"/>
      <c r="M30" s="1486"/>
      <c r="N30" s="875"/>
      <c r="O30" s="872">
        <f t="shared" si="0"/>
      </c>
      <c r="R30" s="852">
        <f>IF(N30=0,0,1)</f>
        <v>0</v>
      </c>
      <c r="S30" s="876">
        <f>IF($R$29&gt;1,"Csak egy jogcímet választhat","")</f>
      </c>
    </row>
    <row r="31" spans="1:19" ht="18" customHeight="1" hidden="1">
      <c r="A31" s="873"/>
      <c r="B31" s="874"/>
      <c r="C31" s="874" t="s">
        <v>577</v>
      </c>
      <c r="D31" s="1487" t="s">
        <v>578</v>
      </c>
      <c r="E31" s="1487"/>
      <c r="F31" s="1487"/>
      <c r="G31" s="1487"/>
      <c r="H31" s="1487"/>
      <c r="I31" s="1487"/>
      <c r="J31" s="1487"/>
      <c r="K31" s="1487"/>
      <c r="L31" s="1487"/>
      <c r="M31" s="1488"/>
      <c r="N31" s="875"/>
      <c r="O31" s="872">
        <f t="shared" si="0"/>
      </c>
      <c r="R31" s="852">
        <f>IF(N31=0,0,1)</f>
        <v>0</v>
      </c>
      <c r="S31" s="876">
        <f>IF($R$29&gt;1,"Csak egy jogcímet választhat","")</f>
      </c>
    </row>
    <row r="32" spans="1:19" ht="21" customHeight="1">
      <c r="A32" s="880"/>
      <c r="B32" s="886"/>
      <c r="C32" s="881" t="s">
        <v>577</v>
      </c>
      <c r="D32" s="1485" t="s">
        <v>579</v>
      </c>
      <c r="E32" s="1485"/>
      <c r="F32" s="1485"/>
      <c r="G32" s="1485"/>
      <c r="H32" s="1485"/>
      <c r="I32" s="1485"/>
      <c r="J32" s="1485"/>
      <c r="K32" s="1485"/>
      <c r="L32" s="1485"/>
      <c r="M32" s="1486"/>
      <c r="N32" s="875"/>
      <c r="O32" s="872">
        <f t="shared" si="0"/>
      </c>
      <c r="R32" s="852">
        <f>IF(N32=0,0,1)</f>
        <v>0</v>
      </c>
      <c r="S32" s="876">
        <f>IF($R$29&gt;1,"Csak egy jogcímet választhat","")</f>
      </c>
    </row>
    <row r="33" spans="1:19" ht="25.5" customHeight="1" hidden="1">
      <c r="A33" s="880"/>
      <c r="B33" s="886"/>
      <c r="C33" s="881" t="s">
        <v>580</v>
      </c>
      <c r="D33" s="1483" t="s">
        <v>581</v>
      </c>
      <c r="E33" s="1483"/>
      <c r="F33" s="1483"/>
      <c r="G33" s="1483"/>
      <c r="H33" s="1483"/>
      <c r="I33" s="1483"/>
      <c r="J33" s="1483"/>
      <c r="K33" s="1483"/>
      <c r="L33" s="1483"/>
      <c r="M33" s="1484"/>
      <c r="N33" s="875"/>
      <c r="O33" s="872">
        <f t="shared" si="0"/>
      </c>
      <c r="R33" s="852">
        <f>IF(N33=0,0,1)</f>
        <v>0</v>
      </c>
      <c r="S33" s="876">
        <f>IF($R$29&gt;1,"Csak egy jogcímet választhat","")</f>
      </c>
    </row>
    <row r="34" spans="1:20" ht="18" customHeight="1">
      <c r="A34" s="884"/>
      <c r="B34" s="885" t="s">
        <v>582</v>
      </c>
      <c r="C34" s="885"/>
      <c r="D34" s="1489" t="s">
        <v>583</v>
      </c>
      <c r="E34" s="1485"/>
      <c r="F34" s="1485"/>
      <c r="G34" s="1485"/>
      <c r="H34" s="1485"/>
      <c r="I34" s="1485"/>
      <c r="J34" s="1485"/>
      <c r="K34" s="1485"/>
      <c r="L34" s="1485"/>
      <c r="M34" s="1486"/>
      <c r="N34" s="875"/>
      <c r="O34" s="872">
        <f t="shared" si="0"/>
      </c>
      <c r="P34" s="876">
        <f>IF(T34&gt;=0,"","Max 2.1  5%-a lehet")</f>
      </c>
      <c r="S34" s="852">
        <f>ROUND((N27*0.05),0)</f>
        <v>0</v>
      </c>
      <c r="T34" s="868">
        <f>-N34+S34</f>
        <v>0</v>
      </c>
    </row>
    <row r="35" spans="1:20" ht="48" customHeight="1">
      <c r="A35" s="880"/>
      <c r="B35" s="881" t="s">
        <v>584</v>
      </c>
      <c r="C35" s="886"/>
      <c r="D35" s="1483" t="s">
        <v>585</v>
      </c>
      <c r="E35" s="1483"/>
      <c r="F35" s="1483"/>
      <c r="G35" s="1483"/>
      <c r="H35" s="1483"/>
      <c r="I35" s="1483"/>
      <c r="J35" s="1483"/>
      <c r="K35" s="1483"/>
      <c r="L35" s="1483"/>
      <c r="M35" s="1484"/>
      <c r="N35" s="875"/>
      <c r="O35" s="872">
        <f t="shared" si="0"/>
      </c>
      <c r="P35" s="876">
        <f>IF(T35&gt;=0,"","Max 2.1  10%-a lehet")</f>
      </c>
      <c r="S35" s="852">
        <f>ROUND((N26*0.1),0)</f>
        <v>0</v>
      </c>
      <c r="T35" s="868">
        <f>-N35+S35</f>
        <v>0</v>
      </c>
    </row>
    <row r="36" spans="1:15" ht="50.25" customHeight="1" hidden="1">
      <c r="A36" s="880"/>
      <c r="B36" s="856"/>
      <c r="C36" s="881" t="s">
        <v>586</v>
      </c>
      <c r="D36" s="1483" t="s">
        <v>587</v>
      </c>
      <c r="E36" s="1483"/>
      <c r="F36" s="1483"/>
      <c r="G36" s="1483"/>
      <c r="H36" s="1483"/>
      <c r="I36" s="1483"/>
      <c r="J36" s="1483"/>
      <c r="K36" s="1483"/>
      <c r="L36" s="1483"/>
      <c r="M36" s="1484"/>
      <c r="N36" s="875"/>
      <c r="O36" s="872">
        <f t="shared" si="0"/>
      </c>
    </row>
    <row r="37" ht="3.75" customHeight="1"/>
    <row r="39" spans="1:12" s="857" customFormat="1" ht="15.75">
      <c r="A39" s="1491" t="str">
        <f>'A.LAP'!A29</f>
        <v>Szabadszállás</v>
      </c>
      <c r="B39" s="1491"/>
      <c r="C39" s="1491"/>
      <c r="D39" s="1491"/>
      <c r="E39" s="1491"/>
      <c r="F39" s="857" t="s">
        <v>588</v>
      </c>
      <c r="G39" s="887">
        <f>'2. oldal'!E83</f>
        <v>0</v>
      </c>
      <c r="H39" s="857" t="s">
        <v>134</v>
      </c>
      <c r="I39" s="887">
        <f>'2. oldal'!H83</f>
        <v>0</v>
      </c>
      <c r="J39" s="857" t="s">
        <v>135</v>
      </c>
      <c r="K39" s="887">
        <f>'2. oldal'!N83</f>
        <v>0</v>
      </c>
      <c r="L39" s="857" t="s">
        <v>210</v>
      </c>
    </row>
    <row r="40" spans="1:11" s="857" customFormat="1" ht="12.75">
      <c r="A40" s="888"/>
      <c r="B40" s="888"/>
      <c r="C40" s="888"/>
      <c r="D40" s="888"/>
      <c r="E40" s="888"/>
      <c r="G40" s="888"/>
      <c r="I40" s="888"/>
      <c r="K40" s="888"/>
    </row>
    <row r="41" spans="13:15" s="857" customFormat="1" ht="21" customHeight="1">
      <c r="M41" s="1492"/>
      <c r="N41" s="1492"/>
      <c r="O41" s="1492"/>
    </row>
    <row r="42" spans="13:15" s="857" customFormat="1" ht="15.75">
      <c r="M42" s="1493" t="s">
        <v>589</v>
      </c>
      <c r="N42" s="1493"/>
      <c r="O42" s="1493"/>
    </row>
    <row r="43" s="857" customFormat="1" ht="12.75">
      <c r="B43" s="889"/>
    </row>
    <row r="44" spans="1:9" s="857" customFormat="1" ht="12.75">
      <c r="A44" s="890"/>
      <c r="E44" s="1494"/>
      <c r="F44" s="1494"/>
      <c r="G44" s="1494"/>
      <c r="H44" s="1494"/>
      <c r="I44" s="1494"/>
    </row>
    <row r="45" spans="1:9" s="857" customFormat="1" ht="12.75">
      <c r="A45" s="890"/>
      <c r="E45" s="1490"/>
      <c r="F45" s="1490"/>
      <c r="G45" s="1490"/>
      <c r="H45" s="1490"/>
      <c r="I45" s="1490"/>
    </row>
  </sheetData>
  <sheetProtection password="C1DD" sheet="1" objects="1" scenarios="1"/>
  <mergeCells count="38">
    <mergeCell ref="A16:F16"/>
    <mergeCell ref="E15:O15"/>
    <mergeCell ref="G16:O16"/>
    <mergeCell ref="A14:O14"/>
    <mergeCell ref="A7:O7"/>
    <mergeCell ref="A8:O8"/>
    <mergeCell ref="A12:O12"/>
    <mergeCell ref="A13:O13"/>
    <mergeCell ref="A2:O2"/>
    <mergeCell ref="A3:O3"/>
    <mergeCell ref="A4:O4"/>
    <mergeCell ref="A5:O5"/>
    <mergeCell ref="D28:M28"/>
    <mergeCell ref="D29:M29"/>
    <mergeCell ref="A9:O9"/>
    <mergeCell ref="A10:O10"/>
    <mergeCell ref="A18:H18"/>
    <mergeCell ref="I18:O18"/>
    <mergeCell ref="A21:M23"/>
    <mergeCell ref="N21:N23"/>
    <mergeCell ref="O21:O23"/>
    <mergeCell ref="A15:D15"/>
    <mergeCell ref="D24:M24"/>
    <mergeCell ref="D25:M25"/>
    <mergeCell ref="D26:M26"/>
    <mergeCell ref="D27:M27"/>
    <mergeCell ref="E45:I45"/>
    <mergeCell ref="A39:E39"/>
    <mergeCell ref="M41:O41"/>
    <mergeCell ref="M42:O42"/>
    <mergeCell ref="E44:I44"/>
    <mergeCell ref="D35:M35"/>
    <mergeCell ref="D36:M36"/>
    <mergeCell ref="D30:M30"/>
    <mergeCell ref="D31:M31"/>
    <mergeCell ref="D32:M32"/>
    <mergeCell ref="D33:M33"/>
    <mergeCell ref="D34:M34"/>
  </mergeCells>
  <printOptions/>
  <pageMargins left="0.4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1"/>
  <sheetViews>
    <sheetView showGridLines="0" view="pageBreakPreview" zoomScaleSheetLayoutView="100" zoomScalePageLayoutView="0" workbookViewId="0" topLeftCell="A1">
      <selection activeCell="E14" sqref="E14:M14"/>
    </sheetView>
  </sheetViews>
  <sheetFormatPr defaultColWidth="9.140625" defaultRowHeight="12.75"/>
  <cols>
    <col min="1" max="1" width="4.7109375" style="250" customWidth="1"/>
    <col min="2" max="2" width="8.7109375" style="250" customWidth="1"/>
    <col min="3" max="3" width="20.28125" style="250" customWidth="1"/>
    <col min="4" max="4" width="12.7109375" style="250" customWidth="1"/>
    <col min="5" max="5" width="8.421875" style="250" customWidth="1"/>
    <col min="6" max="9" width="0" style="250" hidden="1" customWidth="1"/>
    <col min="10" max="10" width="12.00390625" style="250" customWidth="1"/>
    <col min="11" max="11" width="3.00390625" style="250" customWidth="1"/>
    <col min="12" max="12" width="6.00390625" style="250" customWidth="1"/>
    <col min="13" max="13" width="10.421875" style="250" customWidth="1"/>
    <col min="14" max="14" width="7.140625" style="250" customWidth="1"/>
    <col min="15" max="16" width="9.140625" style="250" customWidth="1"/>
    <col min="17" max="17" width="18.7109375" style="250" customWidth="1"/>
    <col min="18" max="16384" width="9.140625" style="250" customWidth="1"/>
  </cols>
  <sheetData>
    <row r="1" ht="20.25">
      <c r="M1" s="466" t="s">
        <v>477</v>
      </c>
    </row>
    <row r="2" ht="4.5" customHeight="1"/>
    <row r="4" ht="6.75" customHeight="1"/>
    <row r="5" spans="1:18" ht="15.75" customHeight="1">
      <c r="A5" s="1044">
        <f>'1. oldal'!AB11</f>
        <v>2012</v>
      </c>
      <c r="B5" s="1045" t="s">
        <v>607</v>
      </c>
      <c r="C5" s="1046"/>
      <c r="D5" s="1047" t="str">
        <f>'1. oldal'!K14</f>
        <v>Szabadszállás</v>
      </c>
      <c r="E5" s="1046" t="s">
        <v>608</v>
      </c>
      <c r="F5" s="1046"/>
      <c r="G5" s="1046"/>
      <c r="H5" s="1046"/>
      <c r="I5" s="1046"/>
      <c r="J5" s="1046"/>
      <c r="K5" s="1046"/>
      <c r="L5" s="1046"/>
      <c r="M5" s="1048"/>
      <c r="N5" s="240"/>
      <c r="O5" s="240"/>
      <c r="P5" s="240"/>
      <c r="Q5" s="240"/>
      <c r="R5" s="240"/>
    </row>
    <row r="6" spans="1:13" ht="15">
      <c r="A6" s="1553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554"/>
    </row>
    <row r="7" spans="1:13" ht="15">
      <c r="A7" s="1555" t="s">
        <v>360</v>
      </c>
      <c r="B7" s="1556"/>
      <c r="C7" s="1556"/>
      <c r="D7" s="1556"/>
      <c r="E7" s="1556"/>
      <c r="F7" s="1556"/>
      <c r="G7" s="1556"/>
      <c r="H7" s="1556"/>
      <c r="I7" s="1556"/>
      <c r="J7" s="1556"/>
      <c r="K7" s="1556"/>
      <c r="L7" s="1556"/>
      <c r="M7" s="1557"/>
    </row>
    <row r="8" spans="1:13" ht="19.5">
      <c r="A8" s="1285" t="s">
        <v>478</v>
      </c>
      <c r="B8" s="1285"/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</row>
    <row r="9" ht="6" customHeight="1"/>
    <row r="10" spans="1:18" ht="15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  <c r="N10" s="240"/>
      <c r="O10" s="240"/>
      <c r="P10" s="240"/>
      <c r="Q10" s="240"/>
      <c r="R10" s="240"/>
    </row>
    <row r="11" spans="1:18" ht="15">
      <c r="A11" s="1270" t="s">
        <v>391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2"/>
      <c r="N11" s="240"/>
      <c r="O11" s="240"/>
      <c r="P11" s="240"/>
      <c r="Q11" s="240"/>
      <c r="R11" s="240"/>
    </row>
    <row r="12" spans="1:18" ht="15.75">
      <c r="A12" s="1284">
        <f>'1. oldal'!K69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  <c r="N12" s="240"/>
      <c r="O12" s="240"/>
      <c r="P12" s="240"/>
      <c r="Q12" s="240"/>
      <c r="R12" s="240"/>
    </row>
    <row r="13" spans="1:18" ht="15.75">
      <c r="A13" s="1270" t="s">
        <v>202</v>
      </c>
      <c r="B13" s="1270"/>
      <c r="C13" s="1323">
        <f>IF('1. oldal'!T74="","",'1. oldal'!T74)</f>
        <v>0</v>
      </c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240"/>
      <c r="O13" s="240"/>
      <c r="P13" s="240"/>
      <c r="Q13" s="240"/>
      <c r="R13" s="240"/>
    </row>
    <row r="14" spans="1:18" ht="15">
      <c r="A14" s="1274" t="s">
        <v>428</v>
      </c>
      <c r="B14" s="1274"/>
      <c r="C14" s="1274"/>
      <c r="D14" s="1274"/>
      <c r="E14" s="1275">
        <f>IF('1. oldal'!K74="","",'1. oldal'!K74)</f>
      </c>
      <c r="F14" s="1275"/>
      <c r="G14" s="1275"/>
      <c r="H14" s="1275"/>
      <c r="I14" s="1275"/>
      <c r="J14" s="1275"/>
      <c r="K14" s="1275"/>
      <c r="L14" s="1275"/>
      <c r="M14" s="1275"/>
      <c r="N14" s="240"/>
      <c r="O14" s="240"/>
      <c r="P14" s="240"/>
      <c r="Q14" s="240"/>
      <c r="R14" s="240"/>
    </row>
    <row r="15" spans="1:13" ht="36" customHeight="1">
      <c r="A15" s="240"/>
      <c r="B15" s="240"/>
      <c r="C15" s="240"/>
      <c r="D15" s="240"/>
      <c r="E15" s="240"/>
      <c r="F15" s="240"/>
      <c r="G15" s="240"/>
      <c r="H15" s="240"/>
      <c r="J15" s="240"/>
      <c r="K15" s="240"/>
      <c r="L15" s="240"/>
      <c r="M15" s="240"/>
    </row>
    <row r="16" spans="1:13" ht="36" customHeight="1">
      <c r="A16" s="240"/>
      <c r="B16" s="1548" t="s">
        <v>480</v>
      </c>
      <c r="C16" s="1548"/>
      <c r="D16" s="1548"/>
      <c r="E16" s="1548"/>
      <c r="F16" s="1548"/>
      <c r="G16" s="1548"/>
      <c r="H16" s="1548"/>
      <c r="I16" s="1548"/>
      <c r="J16" s="1548"/>
      <c r="K16" s="1548"/>
      <c r="L16" s="1548"/>
      <c r="M16" s="1548"/>
    </row>
    <row r="17" spans="1:17" ht="31.5" customHeight="1">
      <c r="A17" s="1549"/>
      <c r="B17" s="1550" t="s">
        <v>481</v>
      </c>
      <c r="C17" s="1550"/>
      <c r="D17" s="1550"/>
      <c r="E17" s="1550"/>
      <c r="F17" s="492"/>
      <c r="G17" s="492"/>
      <c r="H17" s="492"/>
      <c r="I17" s="492"/>
      <c r="J17" s="1551">
        <f>SUM(J19:M25)</f>
        <v>0</v>
      </c>
      <c r="K17" s="1551"/>
      <c r="L17" s="1551"/>
      <c r="M17" s="1551"/>
      <c r="N17" s="479"/>
      <c r="O17" s="240"/>
      <c r="Q17" s="542"/>
    </row>
    <row r="18" spans="1:15" ht="15">
      <c r="A18" s="1549"/>
      <c r="B18" s="1336" t="s">
        <v>482</v>
      </c>
      <c r="C18" s="1336"/>
      <c r="D18" s="1336"/>
      <c r="E18" s="1336"/>
      <c r="F18" s="492"/>
      <c r="G18" s="492"/>
      <c r="H18" s="492"/>
      <c r="I18" s="492"/>
      <c r="J18" s="1552" t="s">
        <v>483</v>
      </c>
      <c r="K18" s="1552"/>
      <c r="L18" s="1552"/>
      <c r="M18" s="1552"/>
      <c r="O18" s="240"/>
    </row>
    <row r="19" spans="1:21" ht="15">
      <c r="A19" s="543" t="s">
        <v>241</v>
      </c>
      <c r="B19" s="1546"/>
      <c r="C19" s="1546"/>
      <c r="D19" s="1546"/>
      <c r="E19" s="1546"/>
      <c r="F19" s="544"/>
      <c r="G19" s="544"/>
      <c r="H19" s="544"/>
      <c r="I19" s="544"/>
      <c r="J19" s="1547"/>
      <c r="K19" s="1547"/>
      <c r="L19" s="1547"/>
      <c r="M19" s="1547"/>
      <c r="O19" s="479"/>
      <c r="R19" s="479"/>
      <c r="U19" s="479"/>
    </row>
    <row r="20" spans="1:21" ht="15">
      <c r="A20" s="543" t="s">
        <v>243</v>
      </c>
      <c r="B20" s="1546"/>
      <c r="C20" s="1546"/>
      <c r="D20" s="1546"/>
      <c r="E20" s="1546"/>
      <c r="F20" s="544"/>
      <c r="G20" s="544"/>
      <c r="H20" s="544"/>
      <c r="I20" s="544"/>
      <c r="J20" s="1547"/>
      <c r="K20" s="1547"/>
      <c r="L20" s="1547"/>
      <c r="M20" s="1547"/>
      <c r="O20" s="479"/>
      <c r="R20" s="479"/>
      <c r="U20" s="479"/>
    </row>
    <row r="21" spans="1:21" ht="15">
      <c r="A21" s="543" t="s">
        <v>245</v>
      </c>
      <c r="B21" s="1546"/>
      <c r="C21" s="1546"/>
      <c r="D21" s="1546"/>
      <c r="E21" s="1546"/>
      <c r="F21" s="544"/>
      <c r="G21" s="544"/>
      <c r="H21" s="544"/>
      <c r="I21" s="544"/>
      <c r="J21" s="1547"/>
      <c r="K21" s="1547"/>
      <c r="L21" s="1547"/>
      <c r="M21" s="1547"/>
      <c r="O21" s="479"/>
      <c r="R21" s="479"/>
      <c r="U21" s="479"/>
    </row>
    <row r="22" spans="1:21" ht="15">
      <c r="A22" s="543" t="s">
        <v>247</v>
      </c>
      <c r="B22" s="1546"/>
      <c r="C22" s="1546"/>
      <c r="D22" s="1546"/>
      <c r="E22" s="1546"/>
      <c r="F22" s="544"/>
      <c r="G22" s="544"/>
      <c r="H22" s="544"/>
      <c r="I22" s="544"/>
      <c r="J22" s="1547"/>
      <c r="K22" s="1547"/>
      <c r="L22" s="1547"/>
      <c r="M22" s="1547"/>
      <c r="O22" s="479"/>
      <c r="R22" s="479"/>
      <c r="U22" s="479"/>
    </row>
    <row r="23" spans="1:21" ht="15">
      <c r="A23" s="543" t="s">
        <v>248</v>
      </c>
      <c r="B23" s="1546"/>
      <c r="C23" s="1546"/>
      <c r="D23" s="1546"/>
      <c r="E23" s="1546"/>
      <c r="F23" s="544"/>
      <c r="G23" s="544"/>
      <c r="H23" s="544"/>
      <c r="I23" s="544"/>
      <c r="J23" s="1547"/>
      <c r="K23" s="1547"/>
      <c r="L23" s="1547"/>
      <c r="M23" s="1547"/>
      <c r="O23" s="479"/>
      <c r="R23" s="479"/>
      <c r="U23" s="479"/>
    </row>
    <row r="24" spans="1:21" ht="15">
      <c r="A24" s="543" t="s">
        <v>254</v>
      </c>
      <c r="B24" s="1546"/>
      <c r="C24" s="1546"/>
      <c r="D24" s="1546"/>
      <c r="E24" s="1546"/>
      <c r="F24" s="544"/>
      <c r="G24" s="544"/>
      <c r="H24" s="544"/>
      <c r="I24" s="544"/>
      <c r="J24" s="1547"/>
      <c r="K24" s="1547"/>
      <c r="L24" s="1547"/>
      <c r="M24" s="1547"/>
      <c r="O24" s="479"/>
      <c r="R24" s="479"/>
      <c r="U24" s="479"/>
    </row>
    <row r="25" spans="1:21" ht="15">
      <c r="A25" s="543" t="s">
        <v>255</v>
      </c>
      <c r="B25" s="1546"/>
      <c r="C25" s="1546"/>
      <c r="D25" s="1546"/>
      <c r="E25" s="1546"/>
      <c r="F25" s="544"/>
      <c r="G25" s="544"/>
      <c r="H25" s="544"/>
      <c r="I25" s="544"/>
      <c r="J25" s="1547"/>
      <c r="K25" s="1547"/>
      <c r="L25" s="1547"/>
      <c r="M25" s="1547"/>
      <c r="O25" s="479"/>
      <c r="R25" s="479"/>
      <c r="U25" s="479"/>
    </row>
    <row r="28" spans="1:13" ht="15.75">
      <c r="A28" s="1276" t="str">
        <f>'A.LAP'!A29</f>
        <v>Szabadszállás</v>
      </c>
      <c r="B28" s="1276"/>
      <c r="C28" s="1276"/>
      <c r="D28" s="427">
        <f>'A.LAP'!D29</f>
        <v>2013</v>
      </c>
      <c r="E28" s="486" t="s">
        <v>134</v>
      </c>
      <c r="F28" s="486"/>
      <c r="G28" s="486"/>
      <c r="H28" s="486"/>
      <c r="I28" s="486"/>
      <c r="J28" s="427">
        <f>'A.LAP'!J29</f>
      </c>
      <c r="K28" s="486" t="s">
        <v>135</v>
      </c>
      <c r="L28" s="427">
        <f>'A.LAP'!L29</f>
      </c>
      <c r="M28" s="250" t="s">
        <v>210</v>
      </c>
    </row>
    <row r="31" spans="10:13" ht="15">
      <c r="J31" s="487"/>
      <c r="K31" s="487"/>
      <c r="L31" s="487"/>
      <c r="M31" s="487"/>
    </row>
    <row r="32" spans="1:13" ht="15">
      <c r="A32" s="298"/>
      <c r="B32" s="479"/>
      <c r="J32" s="1277" t="s">
        <v>388</v>
      </c>
      <c r="K32" s="1277"/>
      <c r="L32" s="1277"/>
      <c r="M32" s="1277"/>
    </row>
    <row r="33" spans="1:2" ht="15">
      <c r="A33" s="298"/>
      <c r="B33" s="479"/>
    </row>
    <row r="34" spans="1:2" ht="15">
      <c r="A34" s="298"/>
      <c r="B34" s="479"/>
    </row>
    <row r="35" spans="1:2" ht="15">
      <c r="A35" s="298"/>
      <c r="B35" s="479"/>
    </row>
    <row r="36" spans="1:2" ht="15">
      <c r="A36" s="298"/>
      <c r="B36" s="235"/>
    </row>
    <row r="37" spans="1:2" ht="15">
      <c r="A37" s="298"/>
      <c r="B37" s="235"/>
    </row>
    <row r="38" spans="1:2" ht="15">
      <c r="A38" s="298"/>
      <c r="B38" s="235"/>
    </row>
    <row r="39" spans="1:2" ht="15">
      <c r="A39" s="298"/>
      <c r="B39" s="235"/>
    </row>
    <row r="40" spans="1:11" ht="15">
      <c r="A40" s="298"/>
      <c r="B40" s="1305"/>
      <c r="C40" s="1305"/>
      <c r="D40" s="1305"/>
      <c r="E40" s="1305"/>
      <c r="F40" s="1305"/>
      <c r="G40" s="1305"/>
      <c r="H40" s="1305"/>
      <c r="I40" s="1305"/>
      <c r="J40" s="1305"/>
      <c r="K40" s="1305"/>
    </row>
    <row r="41" spans="1:13" ht="15.75">
      <c r="A41" s="298"/>
      <c r="B41" s="301"/>
      <c r="D41" s="334"/>
      <c r="M41" s="298"/>
    </row>
  </sheetData>
  <sheetProtection password="CE2A" sheet="1" objects="1" scenarios="1"/>
  <mergeCells count="34">
    <mergeCell ref="A6:M6"/>
    <mergeCell ref="A7:M7"/>
    <mergeCell ref="A10:C10"/>
    <mergeCell ref="D10:M10"/>
    <mergeCell ref="A12:M12"/>
    <mergeCell ref="A13:B13"/>
    <mergeCell ref="C13:M13"/>
    <mergeCell ref="A8:M8"/>
    <mergeCell ref="A11:C11"/>
    <mergeCell ref="B22:E22"/>
    <mergeCell ref="J22:M22"/>
    <mergeCell ref="A17:A18"/>
    <mergeCell ref="B17:E17"/>
    <mergeCell ref="J17:M17"/>
    <mergeCell ref="B18:E18"/>
    <mergeCell ref="J18:M18"/>
    <mergeCell ref="B19:E19"/>
    <mergeCell ref="J19:M19"/>
    <mergeCell ref="B20:E20"/>
    <mergeCell ref="J20:M20"/>
    <mergeCell ref="B21:E21"/>
    <mergeCell ref="J21:M21"/>
    <mergeCell ref="A14:D14"/>
    <mergeCell ref="E14:M14"/>
    <mergeCell ref="B16:M16"/>
    <mergeCell ref="B23:E23"/>
    <mergeCell ref="J23:M23"/>
    <mergeCell ref="B24:E24"/>
    <mergeCell ref="J24:M24"/>
    <mergeCell ref="B40:K40"/>
    <mergeCell ref="B25:E25"/>
    <mergeCell ref="J25:M25"/>
    <mergeCell ref="A28:C28"/>
    <mergeCell ref="J32:M3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1"/>
  <sheetViews>
    <sheetView showGridLines="0" view="pageBreakPreview" zoomScaleSheetLayoutView="100" zoomScalePageLayoutView="0" workbookViewId="0" topLeftCell="A13">
      <selection activeCell="A6" sqref="A6:M6"/>
    </sheetView>
  </sheetViews>
  <sheetFormatPr defaultColWidth="9.140625" defaultRowHeight="12.75"/>
  <cols>
    <col min="1" max="1" width="4.7109375" style="250" customWidth="1"/>
    <col min="2" max="2" width="8.7109375" style="250" customWidth="1"/>
    <col min="3" max="3" width="20.28125" style="250" customWidth="1"/>
    <col min="4" max="4" width="12.7109375" style="250" customWidth="1"/>
    <col min="5" max="5" width="8.421875" style="250" customWidth="1"/>
    <col min="6" max="9" width="0" style="250" hidden="1" customWidth="1"/>
    <col min="10" max="10" width="12.00390625" style="250" customWidth="1"/>
    <col min="11" max="11" width="3.00390625" style="250" customWidth="1"/>
    <col min="12" max="12" width="6.00390625" style="250" customWidth="1"/>
    <col min="13" max="13" width="10.421875" style="250" customWidth="1"/>
    <col min="14" max="14" width="7.140625" style="250" customWidth="1"/>
    <col min="15" max="16" width="9.140625" style="250" customWidth="1"/>
    <col min="17" max="17" width="18.7109375" style="250" customWidth="1"/>
    <col min="18" max="16384" width="9.140625" style="250" customWidth="1"/>
  </cols>
  <sheetData>
    <row r="1" ht="20.25">
      <c r="M1" s="466"/>
    </row>
    <row r="2" spans="1:15" ht="19.5">
      <c r="A2" s="1285" t="s">
        <v>484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O2" s="545" t="s">
        <v>485</v>
      </c>
    </row>
    <row r="5" spans="1:13" ht="15.75" customHeight="1">
      <c r="A5" s="491">
        <v>2010</v>
      </c>
      <c r="B5" s="468" t="s">
        <v>427</v>
      </c>
      <c r="C5" s="469">
        <f>'A.LAP'!C5</f>
        <v>0</v>
      </c>
      <c r="D5" s="468" t="s">
        <v>358</v>
      </c>
      <c r="E5" s="468"/>
      <c r="F5" s="468"/>
      <c r="G5" s="468"/>
      <c r="H5" s="468"/>
      <c r="I5" s="468"/>
      <c r="J5" s="468"/>
      <c r="K5" s="468"/>
      <c r="L5" s="468"/>
      <c r="M5" s="470"/>
    </row>
    <row r="6" spans="1:15" ht="15">
      <c r="A6" s="1482" t="s">
        <v>468</v>
      </c>
      <c r="B6" s="1482"/>
      <c r="C6" s="1482"/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O6" s="326" t="s">
        <v>479</v>
      </c>
    </row>
    <row r="7" spans="1:13" ht="16.5">
      <c r="A7" s="1327"/>
      <c r="B7" s="1327"/>
      <c r="C7" s="1327"/>
      <c r="D7" s="1327"/>
      <c r="E7" s="1327"/>
      <c r="F7" s="1327"/>
      <c r="G7" s="1327"/>
      <c r="H7" s="1327"/>
      <c r="I7" s="1327"/>
      <c r="J7" s="1327"/>
      <c r="K7" s="1327"/>
      <c r="L7" s="1327"/>
      <c r="M7" s="1327"/>
    </row>
    <row r="8" ht="36" customHeight="1"/>
    <row r="9" spans="1:13" ht="15">
      <c r="A9" s="1281" t="s">
        <v>361</v>
      </c>
      <c r="B9" s="1281"/>
      <c r="C9" s="1281"/>
      <c r="D9" s="1282"/>
      <c r="E9" s="1282"/>
      <c r="F9" s="1282"/>
      <c r="G9" s="1282"/>
      <c r="H9" s="1282"/>
      <c r="I9" s="1282"/>
      <c r="J9" s="1282"/>
      <c r="K9" s="1282"/>
      <c r="L9" s="1282"/>
      <c r="M9" s="1282"/>
    </row>
    <row r="10" spans="1:13" ht="15">
      <c r="A10" s="1270" t="s">
        <v>391</v>
      </c>
      <c r="B10" s="1270"/>
      <c r="C10" s="1270"/>
      <c r="D10" s="471"/>
      <c r="E10" s="471"/>
      <c r="F10" s="471"/>
      <c r="G10" s="471"/>
      <c r="H10" s="471"/>
      <c r="I10" s="471"/>
      <c r="J10" s="471"/>
      <c r="K10" s="471"/>
      <c r="L10" s="471"/>
      <c r="M10" s="472"/>
    </row>
    <row r="11" spans="1:13" ht="15.75">
      <c r="A11" s="1284">
        <f>'A.LAP'!A12</f>
        <v>0</v>
      </c>
      <c r="B11" s="1284"/>
      <c r="C11" s="1284"/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</row>
    <row r="12" spans="1:13" ht="15.75">
      <c r="A12" s="1270" t="s">
        <v>202</v>
      </c>
      <c r="B12" s="1270"/>
      <c r="C12" s="1323">
        <f>'A.LAP'!C13</f>
        <v>0</v>
      </c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</row>
    <row r="13" spans="1:13" ht="15">
      <c r="A13" s="1274" t="s">
        <v>363</v>
      </c>
      <c r="B13" s="1274"/>
      <c r="C13" s="1274"/>
      <c r="D13" s="1274"/>
      <c r="E13" s="1324">
        <f>'A.LAP'!E14</f>
      </c>
      <c r="F13" s="1324"/>
      <c r="G13" s="1324"/>
      <c r="H13" s="1324"/>
      <c r="I13" s="1324"/>
      <c r="J13" s="1324"/>
      <c r="K13" s="1324"/>
      <c r="L13" s="1324"/>
      <c r="M13" s="1324"/>
    </row>
    <row r="14" spans="1:13" s="486" customFormat="1" ht="15">
      <c r="A14" s="546"/>
      <c r="B14" s="546"/>
      <c r="C14" s="546"/>
      <c r="D14" s="546"/>
      <c r="E14" s="286"/>
      <c r="F14" s="286"/>
      <c r="G14" s="286"/>
      <c r="H14" s="286"/>
      <c r="I14" s="286"/>
      <c r="J14" s="286"/>
      <c r="K14" s="286"/>
      <c r="L14" s="286"/>
      <c r="M14" s="286"/>
    </row>
    <row r="15" spans="1:13" ht="36" customHeight="1">
      <c r="A15" s="240"/>
      <c r="B15" s="308" t="s">
        <v>486</v>
      </c>
      <c r="C15" s="240"/>
      <c r="D15" s="240"/>
      <c r="E15" s="240"/>
      <c r="F15" s="240"/>
      <c r="G15" s="240"/>
      <c r="H15" s="240"/>
      <c r="J15" s="240"/>
      <c r="K15" s="240"/>
      <c r="L15" s="240"/>
      <c r="M15" s="240"/>
    </row>
    <row r="16" spans="1:13" ht="94.5" customHeight="1">
      <c r="A16" s="240"/>
      <c r="B16" s="1338" t="s">
        <v>487</v>
      </c>
      <c r="C16" s="1338"/>
      <c r="D16" s="1338"/>
      <c r="E16" s="1338"/>
      <c r="F16" s="1338"/>
      <c r="G16" s="1338"/>
      <c r="H16" s="1338"/>
      <c r="I16" s="1338"/>
      <c r="J16" s="1338"/>
      <c r="K16" s="1338"/>
      <c r="L16" s="1338"/>
      <c r="M16" s="1338"/>
    </row>
    <row r="17" spans="1:17" ht="16.5" customHeight="1">
      <c r="A17" s="547"/>
      <c r="B17" s="1550" t="s">
        <v>488</v>
      </c>
      <c r="C17" s="1550"/>
      <c r="D17" s="1550"/>
      <c r="E17" s="1550"/>
      <c r="F17" s="492"/>
      <c r="G17" s="492"/>
      <c r="H17" s="492"/>
      <c r="I17" s="492"/>
      <c r="J17" s="1558">
        <f>J18-15</f>
        <v>-15</v>
      </c>
      <c r="K17" s="1558"/>
      <c r="L17" s="1558"/>
      <c r="M17" s="1558"/>
      <c r="N17" s="479"/>
      <c r="O17" s="531" t="s">
        <v>489</v>
      </c>
      <c r="Q17" s="542"/>
    </row>
    <row r="18" spans="1:15" ht="15">
      <c r="A18" s="547"/>
      <c r="B18" s="1336" t="s">
        <v>490</v>
      </c>
      <c r="C18" s="1336"/>
      <c r="D18" s="1336"/>
      <c r="E18" s="1336"/>
      <c r="F18" s="492"/>
      <c r="G18" s="492"/>
      <c r="H18" s="492"/>
      <c r="I18" s="492"/>
      <c r="J18" s="1558">
        <f>'1. oldal'!AL26</f>
        <v>0</v>
      </c>
      <c r="K18" s="1558"/>
      <c r="L18" s="1558"/>
      <c r="M18" s="1558"/>
      <c r="O18" s="240"/>
    </row>
    <row r="19" spans="1:21" s="486" customFormat="1" ht="15">
      <c r="A19" s="547"/>
      <c r="B19" s="1335" t="s">
        <v>491</v>
      </c>
      <c r="C19" s="1335"/>
      <c r="D19" s="1335"/>
      <c r="E19" s="1335"/>
      <c r="F19" s="548"/>
      <c r="G19" s="548"/>
      <c r="H19" s="548"/>
      <c r="I19" s="548"/>
      <c r="J19" s="1315">
        <f>főkönyv!B145</f>
        <v>0</v>
      </c>
      <c r="K19" s="1315"/>
      <c r="L19" s="1315"/>
      <c r="M19" s="1315"/>
      <c r="O19" s="549"/>
      <c r="R19" s="549"/>
      <c r="U19" s="549"/>
    </row>
    <row r="20" spans="1:21" s="486" customFormat="1" ht="15">
      <c r="A20" s="547"/>
      <c r="B20" s="1335" t="s">
        <v>492</v>
      </c>
      <c r="C20" s="1335"/>
      <c r="D20" s="1335"/>
      <c r="E20" s="1335"/>
      <c r="F20" s="548"/>
      <c r="G20" s="548"/>
      <c r="H20" s="548"/>
      <c r="I20" s="548"/>
      <c r="J20" s="1315">
        <f>főkönyv!B146</f>
        <v>0</v>
      </c>
      <c r="K20" s="1315"/>
      <c r="L20" s="1315"/>
      <c r="M20" s="1315"/>
      <c r="O20" s="549"/>
      <c r="R20" s="549"/>
      <c r="U20" s="549"/>
    </row>
    <row r="21" spans="1:21" s="486" customFormat="1" ht="15">
      <c r="A21" s="547"/>
      <c r="B21" s="1335" t="s">
        <v>493</v>
      </c>
      <c r="C21" s="1335"/>
      <c r="D21" s="1335"/>
      <c r="E21" s="1335"/>
      <c r="F21" s="548"/>
      <c r="G21" s="548"/>
      <c r="H21" s="548"/>
      <c r="I21" s="548"/>
      <c r="J21" s="1315">
        <f>főkönyv!B147</f>
        <v>0</v>
      </c>
      <c r="K21" s="1315"/>
      <c r="L21" s="1315"/>
      <c r="M21" s="1315"/>
      <c r="O21" s="549"/>
      <c r="R21" s="549"/>
      <c r="U21" s="549"/>
    </row>
    <row r="22" spans="1:21" s="486" customFormat="1" ht="15">
      <c r="A22" s="547"/>
      <c r="B22" s="1335" t="s">
        <v>494</v>
      </c>
      <c r="C22" s="1335"/>
      <c r="D22" s="1335"/>
      <c r="E22" s="1335"/>
      <c r="F22" s="548"/>
      <c r="G22" s="548"/>
      <c r="H22" s="548"/>
      <c r="I22" s="548"/>
      <c r="J22" s="1315">
        <f>főkönyv!B148</f>
        <v>0</v>
      </c>
      <c r="K22" s="1315"/>
      <c r="L22" s="1315"/>
      <c r="M22" s="1315"/>
      <c r="O22" s="549"/>
      <c r="R22" s="549"/>
      <c r="U22" s="549"/>
    </row>
    <row r="23" spans="1:21" s="486" customFormat="1" ht="15">
      <c r="A23" s="547"/>
      <c r="B23" s="1335" t="s">
        <v>107</v>
      </c>
      <c r="C23" s="1335"/>
      <c r="D23" s="1335"/>
      <c r="E23" s="1335"/>
      <c r="F23" s="548"/>
      <c r="G23" s="548"/>
      <c r="H23" s="548"/>
      <c r="I23" s="548"/>
      <c r="J23" s="1315">
        <f>főkönyv!B153</f>
        <v>0</v>
      </c>
      <c r="K23" s="1315"/>
      <c r="L23" s="1315"/>
      <c r="M23" s="1315"/>
      <c r="O23" s="549"/>
      <c r="R23" s="549"/>
      <c r="U23" s="549"/>
    </row>
    <row r="24" spans="1:21" s="486" customFormat="1" ht="15">
      <c r="A24" s="547"/>
      <c r="B24" s="1335"/>
      <c r="C24" s="1335"/>
      <c r="D24" s="1335"/>
      <c r="E24" s="1335"/>
      <c r="F24" s="548"/>
      <c r="G24" s="548"/>
      <c r="H24" s="548"/>
      <c r="I24" s="548"/>
      <c r="J24" s="1315"/>
      <c r="K24" s="1315"/>
      <c r="L24" s="1315"/>
      <c r="M24" s="1315"/>
      <c r="O24" s="549"/>
      <c r="R24" s="549"/>
      <c r="U24" s="549"/>
    </row>
    <row r="25" spans="1:21" s="486" customFormat="1" ht="15">
      <c r="A25" s="547"/>
      <c r="B25" s="1335"/>
      <c r="C25" s="1335"/>
      <c r="D25" s="1335"/>
      <c r="E25" s="1335"/>
      <c r="F25" s="548"/>
      <c r="G25" s="548"/>
      <c r="H25" s="548"/>
      <c r="I25" s="548"/>
      <c r="J25" s="1315"/>
      <c r="K25" s="1315"/>
      <c r="L25" s="1315"/>
      <c r="M25" s="1315"/>
      <c r="O25" s="549"/>
      <c r="R25" s="549"/>
      <c r="U25" s="549"/>
    </row>
    <row r="28" spans="1:13" ht="15.75">
      <c r="A28" s="1276" t="str">
        <f>'A.LAP'!A29</f>
        <v>Szabadszállás</v>
      </c>
      <c r="B28" s="1276"/>
      <c r="C28" s="1276"/>
      <c r="D28" s="427">
        <f>'A.LAP'!D29</f>
        <v>2013</v>
      </c>
      <c r="E28" s="486" t="s">
        <v>134</v>
      </c>
      <c r="F28" s="486"/>
      <c r="G28" s="486"/>
      <c r="H28" s="486"/>
      <c r="I28" s="486"/>
      <c r="J28" s="427">
        <f>'A.LAP'!J29</f>
      </c>
      <c r="K28" s="486" t="s">
        <v>135</v>
      </c>
      <c r="L28" s="427">
        <f>'A.LAP'!L29</f>
      </c>
      <c r="M28" s="250" t="s">
        <v>210</v>
      </c>
    </row>
    <row r="31" spans="10:13" ht="15">
      <c r="J31" s="487"/>
      <c r="K31" s="487"/>
      <c r="L31" s="487"/>
      <c r="M31" s="487"/>
    </row>
    <row r="32" spans="1:13" ht="15">
      <c r="A32" s="298"/>
      <c r="B32" s="479"/>
      <c r="J32" s="1277" t="s">
        <v>388</v>
      </c>
      <c r="K32" s="1277"/>
      <c r="L32" s="1277"/>
      <c r="M32" s="1277"/>
    </row>
    <row r="33" spans="1:2" ht="15">
      <c r="A33" s="298"/>
      <c r="B33" s="479"/>
    </row>
    <row r="34" spans="1:2" ht="15">
      <c r="A34" s="298"/>
      <c r="B34" s="479"/>
    </row>
    <row r="35" spans="1:2" ht="15">
      <c r="A35" s="298"/>
      <c r="B35" s="479"/>
    </row>
    <row r="36" spans="1:2" ht="15">
      <c r="A36" s="298"/>
      <c r="B36" s="235"/>
    </row>
    <row r="37" spans="1:2" ht="15">
      <c r="A37" s="298"/>
      <c r="B37" s="235"/>
    </row>
    <row r="38" spans="1:2" ht="15">
      <c r="A38" s="298"/>
      <c r="B38" s="235"/>
    </row>
    <row r="39" spans="1:2" ht="15">
      <c r="A39" s="298"/>
      <c r="B39" s="235"/>
    </row>
    <row r="40" spans="1:11" ht="15">
      <c r="A40" s="298"/>
      <c r="B40" s="1305"/>
      <c r="C40" s="1305"/>
      <c r="D40" s="1305"/>
      <c r="E40" s="1305"/>
      <c r="F40" s="1305"/>
      <c r="G40" s="1305"/>
      <c r="H40" s="1305"/>
      <c r="I40" s="1305"/>
      <c r="J40" s="1305"/>
      <c r="K40" s="1305"/>
    </row>
    <row r="41" spans="1:13" ht="15.75">
      <c r="A41" s="298"/>
      <c r="B41" s="301"/>
      <c r="D41" s="334"/>
      <c r="M41" s="298"/>
    </row>
  </sheetData>
  <sheetProtection password="CE2A" sheet="1" objects="1" scenarios="1"/>
  <mergeCells count="33">
    <mergeCell ref="J20:M20"/>
    <mergeCell ref="A10:C10"/>
    <mergeCell ref="B22:E22"/>
    <mergeCell ref="J22:M22"/>
    <mergeCell ref="B17:E17"/>
    <mergeCell ref="J17:M17"/>
    <mergeCell ref="B18:E18"/>
    <mergeCell ref="J18:M18"/>
    <mergeCell ref="B21:E21"/>
    <mergeCell ref="J21:M21"/>
    <mergeCell ref="B20:E20"/>
    <mergeCell ref="A2:M2"/>
    <mergeCell ref="A6:M6"/>
    <mergeCell ref="A7:M7"/>
    <mergeCell ref="A9:C9"/>
    <mergeCell ref="D9:M9"/>
    <mergeCell ref="A11:M11"/>
    <mergeCell ref="A12:B12"/>
    <mergeCell ref="B19:E19"/>
    <mergeCell ref="J19:M19"/>
    <mergeCell ref="C12:M12"/>
    <mergeCell ref="A13:D13"/>
    <mergeCell ref="E13:M13"/>
    <mergeCell ref="B16:M16"/>
    <mergeCell ref="B23:E23"/>
    <mergeCell ref="B40:K40"/>
    <mergeCell ref="B24:E24"/>
    <mergeCell ref="J24:M24"/>
    <mergeCell ref="B25:E25"/>
    <mergeCell ref="J25:M25"/>
    <mergeCell ref="J23:M23"/>
    <mergeCell ref="A28:C28"/>
    <mergeCell ref="J32:M3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view="pageBreakPreview" zoomScaleSheetLayoutView="100" zoomScalePageLayoutView="0" workbookViewId="0" topLeftCell="A11">
      <selection activeCell="I22" sqref="I22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750" t="s">
        <v>771</v>
      </c>
      <c r="C1" s="751"/>
      <c r="D1" s="752"/>
      <c r="E1" s="752" t="s">
        <v>550</v>
      </c>
      <c r="F1" s="751"/>
      <c r="G1" s="751"/>
      <c r="H1" s="751"/>
      <c r="I1" s="751"/>
      <c r="J1" s="751"/>
    </row>
    <row r="2" spans="2:10" ht="12.75">
      <c r="B2" s="753">
        <v>41387</v>
      </c>
      <c r="C2" s="751"/>
      <c r="D2" s="752"/>
      <c r="E2" s="751"/>
      <c r="F2" s="751"/>
      <c r="G2" s="751"/>
      <c r="H2" s="751"/>
      <c r="I2" s="751"/>
      <c r="J2" s="751"/>
    </row>
    <row r="3" spans="2:10" ht="5.25" customHeight="1">
      <c r="B3" s="751"/>
      <c r="C3" s="751"/>
      <c r="D3" s="751"/>
      <c r="E3" s="751"/>
      <c r="F3" s="751"/>
      <c r="G3" s="751"/>
      <c r="H3" s="751"/>
      <c r="I3" s="751"/>
      <c r="J3" s="751"/>
    </row>
    <row r="4" spans="2:10" ht="12.75">
      <c r="B4" s="751"/>
      <c r="C4" s="751"/>
      <c r="D4" s="752" t="s">
        <v>551</v>
      </c>
      <c r="E4" s="751"/>
      <c r="F4" s="751"/>
      <c r="G4" s="751"/>
      <c r="H4" s="751"/>
      <c r="I4" s="751"/>
      <c r="J4" s="751"/>
    </row>
    <row r="5" spans="1:10" ht="12.75">
      <c r="A5" s="15"/>
      <c r="B5" s="752"/>
      <c r="C5" s="751"/>
      <c r="D5" s="751"/>
      <c r="E5" s="751"/>
      <c r="F5" s="751"/>
      <c r="G5" s="751"/>
      <c r="H5" s="751"/>
      <c r="I5" s="751"/>
      <c r="J5" s="751"/>
    </row>
    <row r="6" spans="1:11" ht="12.75">
      <c r="A6" s="13"/>
      <c r="B6" s="752" t="s">
        <v>681</v>
      </c>
      <c r="C6" s="752"/>
      <c r="D6" s="752"/>
      <c r="E6" s="752"/>
      <c r="F6" s="752"/>
      <c r="G6" s="752"/>
      <c r="H6" s="752"/>
      <c r="I6" s="752"/>
      <c r="J6" s="752"/>
      <c r="K6" s="13"/>
    </row>
    <row r="7" spans="2:10" s="754" customFormat="1" ht="12.75">
      <c r="B7" s="755" t="s">
        <v>461</v>
      </c>
      <c r="C7" s="756"/>
      <c r="D7" s="756"/>
      <c r="E7" s="756"/>
      <c r="F7" s="756"/>
      <c r="G7" s="756"/>
      <c r="H7" s="756"/>
      <c r="I7" s="756"/>
      <c r="J7" s="756"/>
    </row>
    <row r="8" spans="2:10" s="754" customFormat="1" ht="12.75">
      <c r="B8" s="756" t="s">
        <v>462</v>
      </c>
      <c r="C8" s="756"/>
      <c r="D8" s="756"/>
      <c r="E8" s="756"/>
      <c r="F8" s="756"/>
      <c r="G8" s="756"/>
      <c r="H8" s="756"/>
      <c r="I8" s="756"/>
      <c r="J8" s="756"/>
    </row>
    <row r="9" spans="2:10" s="754" customFormat="1" ht="12.75">
      <c r="B9" s="756" t="s">
        <v>463</v>
      </c>
      <c r="C9" s="756"/>
      <c r="D9" s="756"/>
      <c r="E9" s="756"/>
      <c r="F9" s="756"/>
      <c r="G9" s="756"/>
      <c r="H9" s="756"/>
      <c r="I9" s="756"/>
      <c r="J9" s="756"/>
    </row>
    <row r="10" spans="2:10" s="754" customFormat="1" ht="12.75">
      <c r="B10" s="756"/>
      <c r="C10" s="756"/>
      <c r="D10" s="755"/>
      <c r="E10" s="756"/>
      <c r="F10" s="756"/>
      <c r="G10" s="756"/>
      <c r="H10" s="755"/>
      <c r="I10" s="755"/>
      <c r="J10" s="756"/>
    </row>
    <row r="11" spans="2:10" s="754" customFormat="1" ht="12.75">
      <c r="B11" s="756" t="s">
        <v>464</v>
      </c>
      <c r="C11" s="756"/>
      <c r="D11" s="755"/>
      <c r="E11" s="756"/>
      <c r="F11" s="756"/>
      <c r="G11" s="756"/>
      <c r="H11" s="755"/>
      <c r="I11" s="755"/>
      <c r="J11" s="756"/>
    </row>
    <row r="12" spans="2:10" s="754" customFormat="1" ht="12" customHeight="1">
      <c r="B12" s="756"/>
      <c r="C12" s="756"/>
      <c r="D12" s="755"/>
      <c r="E12" s="756"/>
      <c r="F12" s="756"/>
      <c r="G12" s="756"/>
      <c r="H12" s="756"/>
      <c r="I12" s="756"/>
      <c r="J12" s="756"/>
    </row>
    <row r="13" ht="12.75" hidden="1">
      <c r="D13" s="13"/>
    </row>
    <row r="14" spans="2:4" s="1089" customFormat="1" ht="12.75">
      <c r="B14" s="1090" t="s">
        <v>110</v>
      </c>
      <c r="D14" s="1091"/>
    </row>
    <row r="15" s="1089" customFormat="1" ht="12.75">
      <c r="D15" s="1091"/>
    </row>
    <row r="16" spans="2:10" s="1095" customFormat="1" ht="12.75">
      <c r="B16" s="1090" t="s">
        <v>169</v>
      </c>
      <c r="C16" s="1089"/>
      <c r="D16" s="1090"/>
      <c r="E16" s="1089"/>
      <c r="F16" s="1089"/>
      <c r="G16" s="1089"/>
      <c r="H16" s="1089"/>
      <c r="I16" s="1089"/>
      <c r="J16" s="1089"/>
    </row>
    <row r="17" spans="2:10" s="1095" customFormat="1" ht="3.75" customHeight="1">
      <c r="B17" s="1089"/>
      <c r="C17" s="1092"/>
      <c r="D17" s="1090"/>
      <c r="E17" s="1089"/>
      <c r="F17" s="1089"/>
      <c r="G17" s="1089"/>
      <c r="H17" s="1089"/>
      <c r="I17" s="1089"/>
      <c r="J17" s="1089"/>
    </row>
    <row r="18" spans="2:10" s="1095" customFormat="1" ht="12.75">
      <c r="B18" s="1089"/>
      <c r="C18" s="1089"/>
      <c r="D18" s="1090"/>
      <c r="E18" s="1089"/>
      <c r="F18" s="1089"/>
      <c r="G18" s="1089"/>
      <c r="H18" s="1089"/>
      <c r="I18" s="1089"/>
      <c r="J18" s="1089"/>
    </row>
    <row r="19" spans="1:12" s="1096" customFormat="1" ht="12.75">
      <c r="A19" s="1095"/>
      <c r="B19" s="1090" t="s">
        <v>111</v>
      </c>
      <c r="C19" s="1089"/>
      <c r="D19" s="1090"/>
      <c r="E19" s="1089"/>
      <c r="F19" s="1089"/>
      <c r="G19" s="1089"/>
      <c r="H19" s="1089"/>
      <c r="I19" s="1089"/>
      <c r="J19" s="1089"/>
      <c r="K19" s="1095"/>
      <c r="L19" s="1095"/>
    </row>
    <row r="20" spans="1:12" s="1096" customFormat="1" ht="12.75">
      <c r="A20" s="1095"/>
      <c r="B20" s="1089" t="s">
        <v>112</v>
      </c>
      <c r="C20" s="1089"/>
      <c r="D20" s="1090"/>
      <c r="E20" s="1090"/>
      <c r="F20" s="1089"/>
      <c r="G20" s="1089"/>
      <c r="H20" s="1089"/>
      <c r="I20" s="1089"/>
      <c r="J20" s="1089"/>
      <c r="K20" s="1095"/>
      <c r="L20" s="1095"/>
    </row>
    <row r="21" spans="1:12" s="1096" customFormat="1" ht="12.75">
      <c r="A21" s="1095"/>
      <c r="B21" s="1089" t="s">
        <v>639</v>
      </c>
      <c r="C21" s="1089"/>
      <c r="D21" s="1090"/>
      <c r="E21" s="1089"/>
      <c r="F21" s="1089"/>
      <c r="G21" s="1089"/>
      <c r="H21" s="1089"/>
      <c r="I21" s="1089"/>
      <c r="J21" s="1089"/>
      <c r="K21" s="1095"/>
      <c r="L21" s="1095"/>
    </row>
    <row r="22" spans="1:12" s="1096" customFormat="1" ht="12.75">
      <c r="A22" s="1095"/>
      <c r="B22" s="1089" t="s">
        <v>640</v>
      </c>
      <c r="C22" s="1092"/>
      <c r="D22" s="1090"/>
      <c r="E22" s="1089"/>
      <c r="F22" s="1090"/>
      <c r="G22" s="1089"/>
      <c r="H22" s="1089"/>
      <c r="I22" s="1089"/>
      <c r="J22" s="1089"/>
      <c r="K22" s="1095"/>
      <c r="L22" s="1095"/>
    </row>
    <row r="23" spans="1:12" s="1096" customFormat="1" ht="12.75">
      <c r="A23" s="1095"/>
      <c r="B23" s="1089" t="s">
        <v>465</v>
      </c>
      <c r="C23" s="1089"/>
      <c r="D23" s="1090"/>
      <c r="E23" s="1089"/>
      <c r="F23" s="1089"/>
      <c r="G23" s="1089"/>
      <c r="H23" s="1089"/>
      <c r="I23" s="1089"/>
      <c r="J23" s="1089"/>
      <c r="K23" s="1095"/>
      <c r="L23" s="1095"/>
    </row>
    <row r="24" spans="1:12" s="1096" customFormat="1" ht="12.75">
      <c r="A24" s="1095"/>
      <c r="B24" s="1089" t="s">
        <v>466</v>
      </c>
      <c r="C24" s="1089"/>
      <c r="D24" s="1090"/>
      <c r="E24" s="1089"/>
      <c r="F24" s="1089"/>
      <c r="G24" s="1089"/>
      <c r="H24" s="1089"/>
      <c r="I24" s="1089"/>
      <c r="J24" s="1089"/>
      <c r="K24" s="1095"/>
      <c r="L24" s="1095"/>
    </row>
    <row r="25" spans="1:12" s="1096" customFormat="1" ht="12.75">
      <c r="A25" s="1095"/>
      <c r="B25" s="1089"/>
      <c r="C25" s="1089"/>
      <c r="D25" s="1090"/>
      <c r="E25" s="1089"/>
      <c r="F25" s="1089"/>
      <c r="G25" s="1089"/>
      <c r="H25" s="1089"/>
      <c r="I25" s="1089"/>
      <c r="J25" s="1089"/>
      <c r="K25" s="1095"/>
      <c r="L25" s="1095"/>
    </row>
    <row r="26" spans="1:12" s="1096" customFormat="1" ht="12.75">
      <c r="A26" s="1095"/>
      <c r="B26" s="1090" t="s">
        <v>128</v>
      </c>
      <c r="C26" s="1089"/>
      <c r="D26" s="1090"/>
      <c r="E26" s="1089"/>
      <c r="F26" s="1089"/>
      <c r="G26" s="1089"/>
      <c r="H26" s="1089"/>
      <c r="I26" s="1089"/>
      <c r="J26" s="1089"/>
      <c r="K26" s="1095"/>
      <c r="L26" s="1095"/>
    </row>
    <row r="27" spans="1:12" s="1096" customFormat="1" ht="12.75" hidden="1">
      <c r="A27" s="1095"/>
      <c r="B27" s="1089"/>
      <c r="C27" s="1089"/>
      <c r="D27" s="1090"/>
      <c r="E27" s="1089"/>
      <c r="F27" s="1089"/>
      <c r="G27" s="1089"/>
      <c r="H27" s="1089"/>
      <c r="I27" s="1089"/>
      <c r="J27" s="1089"/>
      <c r="K27" s="1095"/>
      <c r="L27" s="1095"/>
    </row>
    <row r="28" spans="1:12" s="1096" customFormat="1" ht="12.75">
      <c r="A28" s="1095"/>
      <c r="B28" s="1089"/>
      <c r="C28" s="1089"/>
      <c r="D28" s="1090"/>
      <c r="E28" s="1089"/>
      <c r="F28" s="1089"/>
      <c r="G28" s="1089"/>
      <c r="H28" s="1089"/>
      <c r="I28" s="1089"/>
      <c r="J28" s="1089"/>
      <c r="K28" s="1095"/>
      <c r="L28" s="1095"/>
    </row>
    <row r="29" spans="1:12" s="1096" customFormat="1" ht="12.75">
      <c r="A29" s="1101" t="s">
        <v>113</v>
      </c>
      <c r="B29" s="1089"/>
      <c r="C29" s="1089"/>
      <c r="D29" s="1090"/>
      <c r="E29" s="1089"/>
      <c r="F29" s="1089"/>
      <c r="G29" s="1089"/>
      <c r="H29" s="1089"/>
      <c r="I29" s="1089"/>
      <c r="J29" s="1089"/>
      <c r="K29" s="1095"/>
      <c r="L29" s="1095"/>
    </row>
    <row r="30" spans="1:12" s="1096" customFormat="1" ht="12.75">
      <c r="A30" s="1101"/>
      <c r="B30" s="1089"/>
      <c r="C30" s="1089"/>
      <c r="D30" s="1090"/>
      <c r="E30" s="1089"/>
      <c r="F30" s="1089"/>
      <c r="G30" s="1089"/>
      <c r="H30" s="1089"/>
      <c r="I30" s="1089"/>
      <c r="J30" s="1089"/>
      <c r="K30" s="1095"/>
      <c r="L30" s="1095"/>
    </row>
    <row r="31" spans="1:12" s="1096" customFormat="1" ht="12.75">
      <c r="A31" s="1096" t="s">
        <v>129</v>
      </c>
      <c r="B31" s="1090"/>
      <c r="C31" s="1089"/>
      <c r="D31" s="1090"/>
      <c r="E31" s="1089"/>
      <c r="F31" s="1089"/>
      <c r="G31" s="1089"/>
      <c r="H31" s="1089"/>
      <c r="I31" s="1089"/>
      <c r="J31" s="1089"/>
      <c r="K31" s="1095"/>
      <c r="L31" s="1095"/>
    </row>
    <row r="32" spans="1:12" s="1096" customFormat="1" ht="12.75">
      <c r="A32" s="1096" t="s">
        <v>641</v>
      </c>
      <c r="B32" s="1090"/>
      <c r="C32" s="1089"/>
      <c r="D32" s="1090"/>
      <c r="E32" s="1089"/>
      <c r="F32" s="1089"/>
      <c r="G32" s="1089"/>
      <c r="H32" s="1089"/>
      <c r="I32" s="1089"/>
      <c r="J32" s="1089"/>
      <c r="K32" s="1095"/>
      <c r="L32" s="1095"/>
    </row>
    <row r="33" spans="1:10" s="1102" customFormat="1" ht="12.75">
      <c r="A33" s="1102" t="s">
        <v>114</v>
      </c>
      <c r="B33" s="1103"/>
      <c r="C33" s="1103"/>
      <c r="D33" s="1103"/>
      <c r="E33" s="1103"/>
      <c r="F33" s="1103"/>
      <c r="G33" s="1103"/>
      <c r="H33" s="1103"/>
      <c r="I33" s="1103"/>
      <c r="J33" s="1103"/>
    </row>
    <row r="34" spans="1:12" s="1096" customFormat="1" ht="12.75">
      <c r="A34" s="1096" t="s">
        <v>115</v>
      </c>
      <c r="B34" s="1090"/>
      <c r="C34" s="1089"/>
      <c r="D34" s="1090"/>
      <c r="E34" s="1089"/>
      <c r="F34" s="1089"/>
      <c r="G34" s="1089"/>
      <c r="H34" s="1089"/>
      <c r="I34" s="1089"/>
      <c r="J34" s="1089"/>
      <c r="K34" s="1095"/>
      <c r="L34" s="1095"/>
    </row>
    <row r="35" spans="1:12" s="1096" customFormat="1" ht="12.75">
      <c r="A35" s="1096" t="s">
        <v>116</v>
      </c>
      <c r="B35" s="1090"/>
      <c r="C35" s="1089"/>
      <c r="D35" s="1090"/>
      <c r="E35" s="1089"/>
      <c r="F35" s="1089"/>
      <c r="G35" s="1089"/>
      <c r="H35" s="1089"/>
      <c r="I35" s="1089"/>
      <c r="J35" s="1089"/>
      <c r="K35" s="1095"/>
      <c r="L35" s="1095"/>
    </row>
    <row r="36" spans="1:12" s="1096" customFormat="1" ht="12.75">
      <c r="A36" s="1096" t="s">
        <v>117</v>
      </c>
      <c r="B36" s="1090"/>
      <c r="C36" s="1089"/>
      <c r="D36" s="1090"/>
      <c r="E36" s="1089"/>
      <c r="F36" s="1089"/>
      <c r="G36" s="1089"/>
      <c r="H36" s="1089"/>
      <c r="I36" s="1089"/>
      <c r="J36" s="1089"/>
      <c r="K36" s="1095"/>
      <c r="L36" s="1095"/>
    </row>
    <row r="37" spans="1:12" s="1096" customFormat="1" ht="12.75">
      <c r="A37" s="1096" t="s">
        <v>118</v>
      </c>
      <c r="B37" s="1090"/>
      <c r="C37" s="1089"/>
      <c r="D37" s="1090"/>
      <c r="E37" s="1089"/>
      <c r="F37" s="1089"/>
      <c r="G37" s="1089"/>
      <c r="H37" s="1089"/>
      <c r="I37" s="1089"/>
      <c r="J37" s="1089"/>
      <c r="K37" s="1095"/>
      <c r="L37" s="1095"/>
    </row>
    <row r="38" spans="2:12" s="1096" customFormat="1" ht="12.75">
      <c r="B38" s="1090"/>
      <c r="C38" s="1089"/>
      <c r="D38" s="1090"/>
      <c r="E38" s="1089"/>
      <c r="F38" s="1089"/>
      <c r="G38" s="1089"/>
      <c r="H38" s="1089"/>
      <c r="I38" s="1089"/>
      <c r="J38" s="1089"/>
      <c r="K38" s="1095"/>
      <c r="L38" s="1095"/>
    </row>
    <row r="39" spans="1:12" s="1096" customFormat="1" ht="12.75" hidden="1">
      <c r="A39" s="1095"/>
      <c r="B39" s="1090"/>
      <c r="C39" s="1089"/>
      <c r="D39" s="1090"/>
      <c r="E39" s="1089"/>
      <c r="F39" s="1089"/>
      <c r="G39" s="1089"/>
      <c r="H39" s="1089"/>
      <c r="I39" s="1089"/>
      <c r="J39" s="1089"/>
      <c r="K39" s="1095"/>
      <c r="L39" s="1095"/>
    </row>
    <row r="40" spans="1:12" s="1104" customFormat="1" ht="12.75">
      <c r="A40" s="1104" t="s">
        <v>119</v>
      </c>
      <c r="B40" s="1105"/>
      <c r="C40" s="1106"/>
      <c r="D40" s="1105"/>
      <c r="E40" s="1106"/>
      <c r="F40" s="1106"/>
      <c r="G40" s="1106"/>
      <c r="H40" s="1106"/>
      <c r="I40" s="1106"/>
      <c r="J40" s="1106"/>
      <c r="K40" s="1107"/>
      <c r="L40" s="1107"/>
    </row>
    <row r="41" spans="1:12" s="1096" customFormat="1" ht="12.75">
      <c r="A41" s="1096" t="s">
        <v>120</v>
      </c>
      <c r="B41" s="1089"/>
      <c r="C41" s="1089"/>
      <c r="D41" s="1090"/>
      <c r="E41" s="1089"/>
      <c r="F41" s="1089"/>
      <c r="G41" s="1089"/>
      <c r="H41" s="1089"/>
      <c r="I41" s="1089"/>
      <c r="J41" s="1089"/>
      <c r="K41" s="1095"/>
      <c r="L41" s="1095"/>
    </row>
    <row r="42" spans="1:12" s="1096" customFormat="1" ht="12.75">
      <c r="A42" s="1095"/>
      <c r="B42" s="1089"/>
      <c r="C42" s="1089"/>
      <c r="D42" s="1090"/>
      <c r="E42" s="1089"/>
      <c r="F42" s="1089"/>
      <c r="G42" s="1089"/>
      <c r="H42" s="1089"/>
      <c r="I42" s="1089"/>
      <c r="J42" s="1089"/>
      <c r="K42" s="1095"/>
      <c r="L42" s="1095"/>
    </row>
    <row r="43" spans="1:12" s="1096" customFormat="1" ht="12.75">
      <c r="A43" s="1095"/>
      <c r="B43" s="1090" t="s">
        <v>121</v>
      </c>
      <c r="C43" s="1090"/>
      <c r="D43" s="1090"/>
      <c r="E43" s="1090"/>
      <c r="F43" s="1090"/>
      <c r="G43" s="1090"/>
      <c r="H43" s="1090"/>
      <c r="I43" s="1089"/>
      <c r="J43" s="1089"/>
      <c r="K43" s="1095"/>
      <c r="L43" s="1095"/>
    </row>
    <row r="44" spans="1:12" s="1096" customFormat="1" ht="12.75">
      <c r="A44" s="1095"/>
      <c r="B44" s="1090" t="s">
        <v>122</v>
      </c>
      <c r="C44" s="1090"/>
      <c r="D44" s="1097"/>
      <c r="E44" s="1090"/>
      <c r="F44" s="1090"/>
      <c r="G44" s="1090"/>
      <c r="H44" s="1090"/>
      <c r="I44" s="1089"/>
      <c r="J44" s="1089"/>
      <c r="K44" s="1095"/>
      <c r="L44" s="1095"/>
    </row>
    <row r="45" spans="1:12" s="1096" customFormat="1" ht="12.75">
      <c r="A45" s="1095"/>
      <c r="B45" s="1090" t="s">
        <v>123</v>
      </c>
      <c r="C45" s="1090"/>
      <c r="D45" s="1090"/>
      <c r="E45" s="1090"/>
      <c r="F45" s="1090"/>
      <c r="G45" s="1090"/>
      <c r="H45" s="1090"/>
      <c r="I45" s="1089"/>
      <c r="J45" s="1089"/>
      <c r="K45" s="1095"/>
      <c r="L45" s="1095"/>
    </row>
    <row r="46" spans="1:12" s="1096" customFormat="1" ht="12.75">
      <c r="A46" s="1095"/>
      <c r="B46" s="1090"/>
      <c r="C46" s="1090"/>
      <c r="D46" s="1090"/>
      <c r="E46" s="1090"/>
      <c r="F46" s="1090"/>
      <c r="G46" s="1090"/>
      <c r="H46" s="1090"/>
      <c r="I46" s="1089"/>
      <c r="J46" s="1089"/>
      <c r="K46" s="1095"/>
      <c r="L46" s="1095"/>
    </row>
    <row r="47" spans="1:8" s="1089" customFormat="1" ht="12.75">
      <c r="A47" s="1100"/>
      <c r="B47" s="1098" t="s">
        <v>124</v>
      </c>
      <c r="C47" s="1090"/>
      <c r="D47" s="1090"/>
      <c r="E47" s="1108" t="s">
        <v>125</v>
      </c>
      <c r="F47" s="1090"/>
      <c r="G47" s="1090"/>
      <c r="H47" s="1090"/>
    </row>
    <row r="48" spans="1:5" s="1089" customFormat="1" ht="15.75">
      <c r="A48" s="1100"/>
      <c r="B48" s="1099"/>
      <c r="D48" s="1090"/>
      <c r="E48" s="1109" t="s">
        <v>126</v>
      </c>
    </row>
    <row r="49" spans="2:7" s="1089" customFormat="1" ht="15.75">
      <c r="B49" s="1099"/>
      <c r="D49" s="1090"/>
      <c r="E49" s="1109" t="s">
        <v>127</v>
      </c>
      <c r="G49" s="1093"/>
    </row>
    <row r="50" spans="1:4" s="1089" customFormat="1" ht="12.75">
      <c r="A50" s="1100"/>
      <c r="B50" s="1099"/>
      <c r="D50" s="1093"/>
    </row>
    <row r="51" spans="2:7" s="17" customFormat="1" ht="15.75">
      <c r="B51" s="1094" t="s">
        <v>632</v>
      </c>
      <c r="D51" s="1051"/>
      <c r="E51" s="1067"/>
      <c r="G51" s="1068"/>
    </row>
    <row r="52" spans="1:12" s="1055" customFormat="1" ht="12.75" hidden="1">
      <c r="A52" s="1054"/>
      <c r="B52" s="1050"/>
      <c r="C52" s="1050"/>
      <c r="D52" s="1050"/>
      <c r="E52" s="1050"/>
      <c r="F52" s="1050"/>
      <c r="G52" s="1050"/>
      <c r="H52" s="1050"/>
      <c r="I52" s="11"/>
      <c r="J52" s="11"/>
      <c r="K52" s="1054"/>
      <c r="L52" s="1054"/>
    </row>
    <row r="53" spans="1:12" s="1055" customFormat="1" ht="12.75" hidden="1">
      <c r="A53" s="1054"/>
      <c r="B53" s="1050"/>
      <c r="C53" s="1050"/>
      <c r="D53" s="1050"/>
      <c r="E53" s="1050"/>
      <c r="F53" s="1050"/>
      <c r="G53" s="1050"/>
      <c r="H53" s="1050"/>
      <c r="I53" s="11"/>
      <c r="J53" s="11"/>
      <c r="K53" s="1054"/>
      <c r="L53" s="1054"/>
    </row>
    <row r="54" spans="1:12" s="1055" customFormat="1" ht="12.75" hidden="1">
      <c r="A54" s="1054"/>
      <c r="B54" s="1056"/>
      <c r="C54" s="1050"/>
      <c r="D54" s="1050"/>
      <c r="E54" s="1057"/>
      <c r="F54" s="1050"/>
      <c r="G54" s="1050"/>
      <c r="H54" s="1050"/>
      <c r="I54" s="11"/>
      <c r="J54" s="11"/>
      <c r="K54" s="1054"/>
      <c r="L54" s="1054"/>
    </row>
    <row r="55" spans="1:12" s="1055" customFormat="1" ht="12.75" hidden="1">
      <c r="A55" s="1054"/>
      <c r="B55" s="1053"/>
      <c r="C55" s="11"/>
      <c r="D55" s="1050"/>
      <c r="E55" s="11"/>
      <c r="F55" s="11"/>
      <c r="G55" s="11"/>
      <c r="H55" s="11"/>
      <c r="I55" s="11"/>
      <c r="J55" s="11"/>
      <c r="K55" s="1054"/>
      <c r="L55" s="1054"/>
    </row>
    <row r="56" spans="1:12" s="1055" customFormat="1" ht="12.75" hidden="1">
      <c r="A56" s="1054"/>
      <c r="B56" s="1050"/>
      <c r="C56" s="11"/>
      <c r="D56" s="1050"/>
      <c r="E56" s="11"/>
      <c r="F56" s="11"/>
      <c r="G56" s="754"/>
      <c r="H56" s="11"/>
      <c r="I56" s="11"/>
      <c r="J56" s="11"/>
      <c r="K56" s="1054"/>
      <c r="L56" s="1054"/>
    </row>
    <row r="57" spans="1:4" ht="12.75" hidden="1">
      <c r="A57" s="1052"/>
      <c r="B57" s="1053"/>
      <c r="D57" s="754"/>
    </row>
    <row r="58" spans="1:4" ht="12.75" hidden="1">
      <c r="A58" s="1052"/>
      <c r="B58" s="1053"/>
      <c r="D58" s="1050"/>
    </row>
    <row r="59" spans="1:4" ht="12.75">
      <c r="A59" s="1052"/>
      <c r="B59" s="1053"/>
      <c r="D59" s="1050"/>
    </row>
    <row r="60" spans="1:10" ht="12.75">
      <c r="A60" s="751"/>
      <c r="B60" s="757" t="s">
        <v>705</v>
      </c>
      <c r="C60" s="751"/>
      <c r="D60" s="752"/>
      <c r="E60" s="751"/>
      <c r="F60" s="751"/>
      <c r="G60" s="751"/>
      <c r="H60" s="751"/>
      <c r="I60" s="751"/>
      <c r="J60" s="751"/>
    </row>
    <row r="61" spans="1:10" ht="12.75">
      <c r="A61" s="751"/>
      <c r="B61" s="757" t="s">
        <v>706</v>
      </c>
      <c r="C61" s="751"/>
      <c r="D61" s="752"/>
      <c r="E61" s="751"/>
      <c r="F61" s="751"/>
      <c r="G61" s="751"/>
      <c r="H61" s="751"/>
      <c r="I61" s="751"/>
      <c r="J61" s="751"/>
    </row>
    <row r="62" spans="1:10" ht="12.75">
      <c r="A62" s="751"/>
      <c r="B62" s="757" t="s">
        <v>707</v>
      </c>
      <c r="C62" s="751"/>
      <c r="D62" s="752"/>
      <c r="E62" s="751"/>
      <c r="F62" s="751"/>
      <c r="G62" s="751"/>
      <c r="H62" s="751"/>
      <c r="I62" s="774" t="s">
        <v>452</v>
      </c>
      <c r="J62" s="751"/>
    </row>
    <row r="63" spans="1:10" ht="12.75">
      <c r="A63" s="751"/>
      <c r="B63" s="757" t="s">
        <v>708</v>
      </c>
      <c r="C63" s="751"/>
      <c r="D63" s="752"/>
      <c r="E63" s="751"/>
      <c r="F63" s="751"/>
      <c r="G63" s="751"/>
      <c r="H63" s="751"/>
      <c r="I63" s="751"/>
      <c r="J63" s="751"/>
    </row>
    <row r="64" spans="1:10" ht="12.75">
      <c r="A64" s="751"/>
      <c r="B64" s="757" t="s">
        <v>709</v>
      </c>
      <c r="C64" s="751"/>
      <c r="D64" s="752"/>
      <c r="E64" s="751"/>
      <c r="F64" s="751"/>
      <c r="G64" s="751"/>
      <c r="H64" s="751"/>
      <c r="I64" s="751"/>
      <c r="J64" s="751"/>
    </row>
    <row r="65" spans="1:10" ht="12.75">
      <c r="A65" s="751"/>
      <c r="B65" s="757" t="s">
        <v>710</v>
      </c>
      <c r="C65" s="751"/>
      <c r="D65" s="752"/>
      <c r="E65" s="751"/>
      <c r="F65" s="751"/>
      <c r="G65" s="751"/>
      <c r="H65" s="751"/>
      <c r="I65" s="751"/>
      <c r="J65" s="751"/>
    </row>
    <row r="66" spans="1:10" ht="12.75">
      <c r="A66" s="751"/>
      <c r="B66" s="751"/>
      <c r="C66" s="751"/>
      <c r="D66" s="757"/>
      <c r="E66" s="751"/>
      <c r="F66" s="751"/>
      <c r="G66" s="751"/>
      <c r="H66" s="751"/>
      <c r="I66" s="751"/>
      <c r="J66" s="751"/>
    </row>
    <row r="67" spans="1:10" ht="12.75">
      <c r="A67" s="751"/>
      <c r="B67" s="758" t="s">
        <v>543</v>
      </c>
      <c r="C67" s="751"/>
      <c r="D67" s="751"/>
      <c r="E67" s="751"/>
      <c r="F67" s="759" t="s">
        <v>711</v>
      </c>
      <c r="G67" s="759"/>
      <c r="H67" s="759"/>
      <c r="I67" s="759"/>
      <c r="J67" s="759"/>
    </row>
    <row r="68" spans="1:10" ht="12.75">
      <c r="A68" s="751"/>
      <c r="B68" s="759" t="s">
        <v>712</v>
      </c>
      <c r="C68" s="751"/>
      <c r="D68" s="751"/>
      <c r="E68" s="751"/>
      <c r="F68" s="759" t="s">
        <v>713</v>
      </c>
      <c r="G68" s="759"/>
      <c r="H68" s="759"/>
      <c r="I68" s="759"/>
      <c r="J68" s="759"/>
    </row>
    <row r="69" spans="1:10" ht="12.75">
      <c r="A69" s="751"/>
      <c r="B69" s="760" t="s">
        <v>714</v>
      </c>
      <c r="C69" s="751"/>
      <c r="D69" s="751"/>
      <c r="E69" s="751"/>
      <c r="F69" s="759" t="s">
        <v>715</v>
      </c>
      <c r="G69" s="759"/>
      <c r="H69" s="759"/>
      <c r="I69" s="759"/>
      <c r="J69" s="759"/>
    </row>
    <row r="70" spans="1:10" ht="12.75">
      <c r="A70" s="751"/>
      <c r="B70" s="751"/>
      <c r="C70" s="751"/>
      <c r="D70" s="760"/>
      <c r="E70" s="751"/>
      <c r="F70" s="751"/>
      <c r="G70" s="751"/>
      <c r="H70" s="751"/>
      <c r="I70" s="751"/>
      <c r="J70" s="751"/>
    </row>
    <row r="71" spans="1:10" ht="12.75">
      <c r="A71" s="751"/>
      <c r="B71" s="759" t="s">
        <v>716</v>
      </c>
      <c r="C71" s="759"/>
      <c r="D71" s="759" t="s">
        <v>453</v>
      </c>
      <c r="E71" s="759"/>
      <c r="F71" s="759"/>
      <c r="G71" s="759"/>
      <c r="H71" s="759" t="s">
        <v>717</v>
      </c>
      <c r="I71" s="757" t="s">
        <v>718</v>
      </c>
      <c r="J71" s="751"/>
    </row>
    <row r="72" spans="1:10" ht="12.75">
      <c r="A72" s="751"/>
      <c r="B72" s="759"/>
      <c r="C72" s="759"/>
      <c r="D72" s="759" t="s">
        <v>719</v>
      </c>
      <c r="E72" s="759"/>
      <c r="F72" s="759"/>
      <c r="G72" s="759"/>
      <c r="H72" s="759" t="s">
        <v>720</v>
      </c>
      <c r="I72" s="751"/>
      <c r="J72" s="751"/>
    </row>
    <row r="73" spans="2:8" ht="12.75">
      <c r="B73" s="23"/>
      <c r="C73" s="23"/>
      <c r="D73" s="23"/>
      <c r="E73" s="23"/>
      <c r="F73" s="23"/>
      <c r="G73" s="23"/>
      <c r="H73" s="23"/>
    </row>
    <row r="74" spans="2:8" ht="12.75">
      <c r="B74" s="23"/>
      <c r="C74" s="23"/>
      <c r="D74" s="23"/>
      <c r="E74" s="23"/>
      <c r="F74" s="23"/>
      <c r="G74" s="23"/>
      <c r="H74" s="23"/>
    </row>
    <row r="75" spans="2:8" ht="12.75">
      <c r="B75" s="23"/>
      <c r="C75" s="23"/>
      <c r="D75" s="23"/>
      <c r="E75" s="23"/>
      <c r="F75" s="23"/>
      <c r="G75" s="23"/>
      <c r="H75" s="23"/>
    </row>
    <row r="76" ht="12.75">
      <c r="D76" s="23"/>
    </row>
  </sheetData>
  <sheetProtection password="CE2A" sheet="1" objects="1" scenarios="1"/>
  <hyperlinks>
    <hyperlink ref="B67" r:id="rId1" display="info@centex.hu"/>
    <hyperlink ref="I62" r:id="rId2" display="http://www.iparuzes.hu"/>
  </hyperlinks>
  <printOptions/>
  <pageMargins left="0.75" right="0.75" top="1" bottom="1" header="0.5" footer="0.5"/>
  <pageSetup horizontalDpi="1200" verticalDpi="1200" orientation="portrait" paperSize="9" scale="91" r:id="rId3"/>
  <colBreaks count="1" manualBreakCount="1">
    <brk id="1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Q122"/>
  <sheetViews>
    <sheetView showGridLines="0" view="pageBreakPreview" zoomScaleSheetLayoutView="100" zoomScalePageLayoutView="0" workbookViewId="0" topLeftCell="A9">
      <selection activeCell="V103" sqref="V103"/>
    </sheetView>
  </sheetViews>
  <sheetFormatPr defaultColWidth="9.140625" defaultRowHeight="12.75"/>
  <cols>
    <col min="1" max="1" width="3.140625" style="530" customWidth="1"/>
    <col min="2" max="2" width="3.421875" style="496" customWidth="1"/>
    <col min="3" max="3" width="2.8515625" style="496" customWidth="1"/>
    <col min="4" max="4" width="1.28515625" style="496" customWidth="1"/>
    <col min="5" max="5" width="3.421875" style="496" customWidth="1"/>
    <col min="6" max="6" width="1.421875" style="496" customWidth="1"/>
    <col min="7" max="7" width="3.8515625" style="496" customWidth="1"/>
    <col min="8" max="8" width="1.28515625" style="496" customWidth="1"/>
    <col min="9" max="9" width="4.00390625" style="496" customWidth="1"/>
    <col min="10" max="10" width="1.1484375" style="496" customWidth="1"/>
    <col min="11" max="11" width="3.57421875" style="496" customWidth="1"/>
    <col min="12" max="12" width="1.7109375" style="496" customWidth="1"/>
    <col min="13" max="13" width="3.28125" style="496" customWidth="1"/>
    <col min="14" max="14" width="1.421875" style="496" customWidth="1"/>
    <col min="15" max="15" width="2.8515625" style="496" customWidth="1"/>
    <col min="16" max="16" width="1.7109375" style="496" customWidth="1"/>
    <col min="17" max="17" width="3.421875" style="496" customWidth="1"/>
    <col min="18" max="18" width="7.00390625" style="496" customWidth="1"/>
    <col min="19" max="19" width="3.28125" style="496" customWidth="1"/>
    <col min="20" max="20" width="19.421875" style="496" customWidth="1"/>
    <col min="21" max="21" width="3.00390625" style="496" customWidth="1"/>
    <col min="22" max="22" width="4.57421875" style="496" customWidth="1"/>
    <col min="23" max="23" width="5.421875" style="496" customWidth="1"/>
    <col min="24" max="24" width="3.28125" style="530" customWidth="1"/>
    <col min="25" max="36" width="0" style="496" hidden="1" customWidth="1"/>
    <col min="37" max="37" width="9.28125" style="496" bestFit="1" customWidth="1"/>
    <col min="38" max="38" width="9.7109375" style="496" bestFit="1" customWidth="1"/>
    <col min="39" max="16384" width="9.140625" style="496" customWidth="1"/>
  </cols>
  <sheetData>
    <row r="1" spans="2:23" s="530" customFormat="1" ht="12.75" hidden="1"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</row>
    <row r="2" spans="6:20" s="530" customFormat="1" ht="15" hidden="1">
      <c r="F2" s="258"/>
      <c r="G2" s="258"/>
      <c r="I2" s="258"/>
      <c r="J2" s="258"/>
      <c r="R2" s="577"/>
      <c r="S2" s="577"/>
      <c r="T2" s="577"/>
    </row>
    <row r="3" spans="6:10" s="530" customFormat="1" ht="15" hidden="1">
      <c r="F3" s="258"/>
      <c r="G3" s="258"/>
      <c r="I3" s="258"/>
      <c r="J3" s="258"/>
    </row>
    <row r="4" spans="6:10" s="530" customFormat="1" ht="15" hidden="1">
      <c r="F4" s="258"/>
      <c r="G4" s="258"/>
      <c r="I4" s="258"/>
      <c r="J4" s="258"/>
    </row>
    <row r="5" spans="6:21" s="530" customFormat="1" ht="15" hidden="1">
      <c r="F5" s="258"/>
      <c r="G5" s="258"/>
      <c r="I5" s="258"/>
      <c r="J5" s="258"/>
      <c r="U5" s="510"/>
    </row>
    <row r="6" spans="6:22" s="530" customFormat="1" ht="15" hidden="1">
      <c r="F6" s="258"/>
      <c r="G6" s="258"/>
      <c r="I6" s="258"/>
      <c r="J6" s="258"/>
      <c r="V6" s="571"/>
    </row>
    <row r="7" s="530" customFormat="1" ht="12.75" hidden="1"/>
    <row r="8" spans="2:23" ht="7.5" customHeight="1"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</row>
    <row r="9" spans="2:23" ht="23.25" customHeight="1">
      <c r="B9" s="1602" t="s">
        <v>89</v>
      </c>
      <c r="C9" s="1603"/>
      <c r="D9" s="1603"/>
      <c r="E9" s="1603"/>
      <c r="F9" s="1603"/>
      <c r="G9" s="1603"/>
      <c r="H9" s="1603"/>
      <c r="I9" s="1603"/>
      <c r="J9" s="1603"/>
      <c r="K9" s="1603"/>
      <c r="L9" s="1603"/>
      <c r="M9" s="1603"/>
      <c r="N9" s="1603"/>
      <c r="O9" s="1603"/>
      <c r="P9" s="1603"/>
      <c r="Q9" s="1603"/>
      <c r="R9" s="1603"/>
      <c r="S9" s="1603"/>
      <c r="T9" s="1603"/>
      <c r="U9" s="1603"/>
      <c r="V9" s="1603"/>
      <c r="W9" s="1604"/>
    </row>
    <row r="10" spans="2:23" ht="23.25" customHeight="1">
      <c r="B10" s="1605" t="s">
        <v>690</v>
      </c>
      <c r="C10" s="1606"/>
      <c r="D10" s="1606"/>
      <c r="E10" s="1606"/>
      <c r="F10" s="1606"/>
      <c r="G10" s="1606"/>
      <c r="H10" s="1606"/>
      <c r="I10" s="1606"/>
      <c r="J10" s="1606"/>
      <c r="K10" s="1606"/>
      <c r="L10" s="1606"/>
      <c r="M10" s="1606"/>
      <c r="N10" s="1606"/>
      <c r="O10" s="1606"/>
      <c r="P10" s="1606"/>
      <c r="Q10" s="1606"/>
      <c r="R10" s="1606"/>
      <c r="S10" s="1606"/>
      <c r="T10" s="1606"/>
      <c r="U10" s="1606"/>
      <c r="V10" s="1606"/>
      <c r="W10" s="1607"/>
    </row>
    <row r="11" spans="2:28" s="209" customFormat="1" ht="22.5" customHeight="1">
      <c r="B11" s="1605" t="s">
        <v>90</v>
      </c>
      <c r="C11" s="1606"/>
      <c r="D11" s="1606"/>
      <c r="E11" s="1606"/>
      <c r="F11" s="1606"/>
      <c r="G11" s="1606"/>
      <c r="H11" s="1606"/>
      <c r="I11" s="1606"/>
      <c r="J11" s="1606"/>
      <c r="K11" s="1606"/>
      <c r="L11" s="1606"/>
      <c r="M11" s="1606"/>
      <c r="N11" s="1606"/>
      <c r="O11" s="1606"/>
      <c r="P11" s="1606"/>
      <c r="Q11" s="1606"/>
      <c r="R11" s="1606"/>
      <c r="S11" s="1606"/>
      <c r="T11" s="1606"/>
      <c r="U11" s="1606"/>
      <c r="V11" s="1606"/>
      <c r="W11" s="1607"/>
      <c r="X11" s="210"/>
      <c r="Y11" s="211"/>
      <c r="AB11" s="578">
        <v>2010</v>
      </c>
    </row>
    <row r="12" spans="2:23" s="209" customFormat="1" ht="19.5" customHeight="1">
      <c r="B12" s="579"/>
      <c r="C12" s="1608" t="s">
        <v>823</v>
      </c>
      <c r="D12" s="1608"/>
      <c r="E12" s="1608"/>
      <c r="F12" s="1608"/>
      <c r="G12" s="1608"/>
      <c r="H12" s="1608"/>
      <c r="I12" s="1608"/>
      <c r="J12" s="1608"/>
      <c r="K12" s="1609" t="str">
        <f>IF(Reg!AM3=99,főkönyv!B23,"DEMO")</f>
        <v>Szabadszállás</v>
      </c>
      <c r="L12" s="1609"/>
      <c r="M12" s="1609"/>
      <c r="N12" s="1609"/>
      <c r="O12" s="1609"/>
      <c r="P12" s="1609"/>
      <c r="Q12" s="1609"/>
      <c r="R12" s="1609"/>
      <c r="S12" s="580" t="s">
        <v>108</v>
      </c>
      <c r="T12" s="580"/>
      <c r="U12" s="580"/>
      <c r="V12" s="580"/>
      <c r="W12" s="581"/>
    </row>
    <row r="13" spans="2:24" s="209" customFormat="1" ht="15">
      <c r="B13" s="1599" t="s">
        <v>109</v>
      </c>
      <c r="C13" s="1600"/>
      <c r="D13" s="1600"/>
      <c r="E13" s="1600"/>
      <c r="F13" s="1600"/>
      <c r="G13" s="1600"/>
      <c r="H13" s="1600"/>
      <c r="I13" s="1600"/>
      <c r="J13" s="1600"/>
      <c r="K13" s="1600"/>
      <c r="L13" s="1600"/>
      <c r="M13" s="1600"/>
      <c r="N13" s="1600"/>
      <c r="O13" s="1600"/>
      <c r="P13" s="1600"/>
      <c r="Q13" s="1600"/>
      <c r="R13" s="1600"/>
      <c r="S13" s="1600"/>
      <c r="T13" s="1600"/>
      <c r="U13" s="1600"/>
      <c r="V13" s="1600"/>
      <c r="W13" s="1601"/>
      <c r="X13" s="211"/>
    </row>
    <row r="14" spans="2:24" s="209" customFormat="1" ht="16.5" customHeight="1">
      <c r="B14" s="1610" t="s">
        <v>131</v>
      </c>
      <c r="C14" s="1611"/>
      <c r="D14" s="1611"/>
      <c r="E14" s="1611"/>
      <c r="F14" s="1611"/>
      <c r="G14" s="1611"/>
      <c r="H14" s="1611"/>
      <c r="I14" s="1611"/>
      <c r="J14" s="1611"/>
      <c r="K14" s="1611"/>
      <c r="L14" s="1611"/>
      <c r="M14" s="1611"/>
      <c r="N14" s="1611"/>
      <c r="O14" s="1611"/>
      <c r="P14" s="1611"/>
      <c r="Q14" s="1611"/>
      <c r="R14" s="1611"/>
      <c r="S14" s="1611"/>
      <c r="T14" s="1611"/>
      <c r="U14" s="1611"/>
      <c r="V14" s="1611"/>
      <c r="W14" s="1612"/>
      <c r="X14" s="213"/>
    </row>
    <row r="15" ht="1.5" customHeight="1"/>
    <row r="16" spans="2:23" ht="14.25" hidden="1">
      <c r="B16" s="582" t="s">
        <v>132</v>
      </c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</row>
    <row r="17" spans="2:23" ht="15" hidden="1">
      <c r="B17" s="258" t="s">
        <v>133</v>
      </c>
      <c r="C17" s="530"/>
      <c r="D17" s="530"/>
      <c r="E17" s="530"/>
      <c r="F17" s="530"/>
      <c r="G17" s="530"/>
      <c r="H17" s="530"/>
      <c r="I17" s="530"/>
      <c r="J17" s="530"/>
      <c r="K17" s="583"/>
      <c r="L17" s="583"/>
      <c r="M17" s="583"/>
      <c r="N17" s="510" t="s">
        <v>134</v>
      </c>
      <c r="O17" s="510"/>
      <c r="P17" s="583"/>
      <c r="Q17" s="530"/>
      <c r="R17" s="510" t="s">
        <v>135</v>
      </c>
      <c r="S17" s="583"/>
      <c r="T17" s="530" t="s">
        <v>136</v>
      </c>
      <c r="U17" s="530"/>
      <c r="V17" s="530"/>
      <c r="W17" s="530"/>
    </row>
    <row r="18" spans="2:23" ht="15" hidden="1">
      <c r="B18" s="258" t="s">
        <v>137</v>
      </c>
      <c r="C18" s="530"/>
      <c r="D18" s="530"/>
      <c r="E18" s="530"/>
      <c r="F18" s="530"/>
      <c r="G18" s="530"/>
      <c r="H18" s="530"/>
      <c r="I18" s="530"/>
      <c r="J18" s="530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30"/>
    </row>
    <row r="19" spans="2:23" ht="12.75" hidden="1">
      <c r="B19" s="530" t="s">
        <v>138</v>
      </c>
      <c r="C19" s="530"/>
      <c r="D19" s="530"/>
      <c r="E19" s="530"/>
      <c r="F19" s="530"/>
      <c r="G19" s="530"/>
      <c r="H19" s="530"/>
      <c r="I19" s="530"/>
      <c r="J19" s="530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30"/>
    </row>
    <row r="20" spans="2:23" ht="12.75" customHeight="1" hidden="1"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</row>
    <row r="21" spans="2:23" ht="12.75" hidden="1"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83"/>
      <c r="U21" s="583"/>
      <c r="V21" s="583"/>
      <c r="W21" s="530"/>
    </row>
    <row r="22" spans="2:23" ht="12.75" customHeight="1" hidden="1">
      <c r="B22" s="312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30"/>
      <c r="S22" s="583"/>
      <c r="T22" s="312" t="s">
        <v>139</v>
      </c>
      <c r="U22" s="312"/>
      <c r="V22" s="583"/>
      <c r="W22" s="583"/>
    </row>
    <row r="23" spans="18:24" ht="12.75" customHeight="1" hidden="1">
      <c r="R23" s="585"/>
      <c r="S23" s="586"/>
      <c r="T23" s="1613"/>
      <c r="U23" s="1613"/>
      <c r="V23" s="1613"/>
      <c r="W23" s="1613"/>
      <c r="X23" s="587"/>
    </row>
    <row r="24" spans="2:38" ht="12.75" customHeight="1" hidden="1">
      <c r="B24" s="1149" t="s">
        <v>140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221" t="s">
        <v>141</v>
      </c>
      <c r="P24" s="222"/>
      <c r="Q24" s="222"/>
      <c r="R24" s="223"/>
      <c r="S24" s="224"/>
      <c r="T24" s="224"/>
      <c r="U24" s="1598"/>
      <c r="V24" s="1598"/>
      <c r="W24" s="1598"/>
      <c r="X24" s="223"/>
      <c r="Y24" s="225"/>
      <c r="Z24" s="223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6">
        <f>U24</f>
        <v>0</v>
      </c>
    </row>
    <row r="25" spans="2:26" ht="2.25" customHeight="1" hidden="1">
      <c r="B25" s="588"/>
      <c r="C25" s="588"/>
      <c r="D25" s="588"/>
      <c r="E25" s="588"/>
      <c r="F25" s="588"/>
      <c r="G25" s="588"/>
      <c r="H25" s="588"/>
      <c r="I25" s="588"/>
      <c r="J25" s="588"/>
      <c r="K25" s="589"/>
      <c r="L25" s="589"/>
      <c r="M25" s="589"/>
      <c r="N25" s="589"/>
      <c r="O25" s="589"/>
      <c r="P25" s="546"/>
      <c r="Q25" s="546"/>
      <c r="S25" s="275"/>
      <c r="T25" s="275"/>
      <c r="U25" s="275"/>
      <c r="V25" s="530"/>
      <c r="W25" s="530"/>
      <c r="Z25" s="530"/>
    </row>
    <row r="26" spans="3:27" ht="10.5" customHeight="1" hidden="1">
      <c r="C26" s="652"/>
      <c r="D26" s="232"/>
      <c r="E26" s="590" t="s">
        <v>142</v>
      </c>
      <c r="G26" s="1583" t="s">
        <v>143</v>
      </c>
      <c r="H26" s="1583"/>
      <c r="I26" s="1583"/>
      <c r="J26" s="1583"/>
      <c r="K26" s="1583"/>
      <c r="L26" s="1583"/>
      <c r="M26" s="1583"/>
      <c r="N26" s="1583"/>
      <c r="O26" s="1583"/>
      <c r="P26" s="1583"/>
      <c r="Q26" s="1583"/>
      <c r="R26" s="1583"/>
      <c r="S26" s="1583"/>
      <c r="T26" s="1583"/>
      <c r="U26" s="1583"/>
      <c r="V26" s="1583"/>
      <c r="W26" s="1583"/>
      <c r="X26" s="232"/>
      <c r="Z26" s="530">
        <f aca="true" t="shared" si="0" ref="Z26:Z32">IF(C26="x",1,0)</f>
        <v>0</v>
      </c>
      <c r="AA26" s="496">
        <f>Z26</f>
        <v>0</v>
      </c>
    </row>
    <row r="27" spans="3:30" ht="10.5" customHeight="1" hidden="1">
      <c r="C27" s="652"/>
      <c r="D27" s="232"/>
      <c r="E27" s="590" t="s">
        <v>144</v>
      </c>
      <c r="G27" s="1583" t="s">
        <v>145</v>
      </c>
      <c r="H27" s="1583"/>
      <c r="I27" s="1583"/>
      <c r="J27" s="1583"/>
      <c r="K27" s="1583"/>
      <c r="L27" s="1583"/>
      <c r="M27" s="1583"/>
      <c r="N27" s="1583"/>
      <c r="O27" s="1583"/>
      <c r="P27" s="1583"/>
      <c r="Q27" s="1583"/>
      <c r="R27" s="1583"/>
      <c r="S27" s="1583"/>
      <c r="T27" s="1583"/>
      <c r="U27" s="1583"/>
      <c r="V27" s="1583"/>
      <c r="W27" s="1583"/>
      <c r="X27" s="232"/>
      <c r="Z27" s="530">
        <f t="shared" si="0"/>
        <v>0</v>
      </c>
      <c r="AA27" s="496">
        <f aca="true" t="shared" si="1" ref="AA27:AA34">Z27</f>
        <v>0</v>
      </c>
      <c r="AC27" s="591">
        <f>AA27</f>
        <v>0</v>
      </c>
      <c r="AD27" s="591">
        <f>IF(OR(AC27+AC87=2,AC27+AC87=0),1,0)</f>
        <v>1</v>
      </c>
    </row>
    <row r="28" spans="3:27" ht="10.5" customHeight="1" hidden="1">
      <c r="C28" s="652"/>
      <c r="D28" s="232"/>
      <c r="E28" s="590" t="s">
        <v>146</v>
      </c>
      <c r="G28" s="1583" t="s">
        <v>147</v>
      </c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232"/>
      <c r="Z28" s="530">
        <f t="shared" si="0"/>
        <v>0</v>
      </c>
      <c r="AA28" s="496">
        <f t="shared" si="1"/>
        <v>0</v>
      </c>
    </row>
    <row r="29" spans="3:27" ht="10.5" customHeight="1" hidden="1">
      <c r="C29" s="652"/>
      <c r="D29" s="232"/>
      <c r="E29" s="590" t="s">
        <v>148</v>
      </c>
      <c r="G29" s="1583" t="s">
        <v>149</v>
      </c>
      <c r="H29" s="1583"/>
      <c r="I29" s="1583"/>
      <c r="J29" s="1583"/>
      <c r="K29" s="1583"/>
      <c r="L29" s="1583"/>
      <c r="M29" s="1583"/>
      <c r="N29" s="1583"/>
      <c r="O29" s="1583"/>
      <c r="P29" s="1583"/>
      <c r="Q29" s="1583"/>
      <c r="R29" s="1583"/>
      <c r="S29" s="1583"/>
      <c r="T29" s="1583"/>
      <c r="U29" s="1583"/>
      <c r="V29" s="1583"/>
      <c r="W29" s="1583"/>
      <c r="X29" s="232"/>
      <c r="Z29" s="530">
        <f t="shared" si="0"/>
        <v>0</v>
      </c>
      <c r="AA29" s="496">
        <f t="shared" si="1"/>
        <v>0</v>
      </c>
    </row>
    <row r="30" spans="3:27" ht="10.5" customHeight="1" hidden="1">
      <c r="C30" s="652"/>
      <c r="D30" s="232"/>
      <c r="E30" s="590" t="s">
        <v>150</v>
      </c>
      <c r="G30" s="1583" t="s">
        <v>151</v>
      </c>
      <c r="H30" s="1583"/>
      <c r="I30" s="1583"/>
      <c r="J30" s="1583"/>
      <c r="K30" s="1583"/>
      <c r="L30" s="1583"/>
      <c r="M30" s="1583"/>
      <c r="N30" s="1583"/>
      <c r="O30" s="1583"/>
      <c r="P30" s="1583"/>
      <c r="Q30" s="1583"/>
      <c r="R30" s="1583"/>
      <c r="S30" s="1583"/>
      <c r="T30" s="1583"/>
      <c r="U30" s="1583"/>
      <c r="V30" s="1583"/>
      <c r="W30" s="1583"/>
      <c r="X30" s="232"/>
      <c r="Z30" s="530">
        <f t="shared" si="0"/>
        <v>0</v>
      </c>
      <c r="AA30" s="496">
        <f t="shared" si="1"/>
        <v>0</v>
      </c>
    </row>
    <row r="31" spans="3:27" ht="10.5" customHeight="1" hidden="1">
      <c r="C31" s="652"/>
      <c r="D31" s="232"/>
      <c r="E31" s="590" t="s">
        <v>152</v>
      </c>
      <c r="G31" s="1583" t="s">
        <v>153</v>
      </c>
      <c r="H31" s="1583"/>
      <c r="I31" s="1583"/>
      <c r="J31" s="1583"/>
      <c r="K31" s="1583"/>
      <c r="L31" s="1583"/>
      <c r="M31" s="1583"/>
      <c r="N31" s="1583"/>
      <c r="O31" s="1583"/>
      <c r="P31" s="1583"/>
      <c r="Q31" s="1583"/>
      <c r="R31" s="1583"/>
      <c r="S31" s="1583"/>
      <c r="T31" s="1583"/>
      <c r="U31" s="1583"/>
      <c r="V31" s="1583"/>
      <c r="W31" s="1583"/>
      <c r="X31" s="232"/>
      <c r="Z31" s="530">
        <f t="shared" si="0"/>
        <v>0</v>
      </c>
      <c r="AA31" s="496">
        <f t="shared" si="1"/>
        <v>0</v>
      </c>
    </row>
    <row r="32" spans="3:27" ht="10.5" customHeight="1" hidden="1">
      <c r="C32" s="652"/>
      <c r="D32" s="232"/>
      <c r="E32" s="590" t="s">
        <v>154</v>
      </c>
      <c r="G32" s="1583" t="s">
        <v>156</v>
      </c>
      <c r="H32" s="1583"/>
      <c r="I32" s="1583"/>
      <c r="J32" s="1583"/>
      <c r="K32" s="1583"/>
      <c r="L32" s="1583"/>
      <c r="M32" s="1583"/>
      <c r="N32" s="1583"/>
      <c r="O32" s="1583"/>
      <c r="P32" s="1583"/>
      <c r="Q32" s="1583"/>
      <c r="R32" s="1583"/>
      <c r="S32" s="1583"/>
      <c r="T32" s="1583"/>
      <c r="U32" s="1583"/>
      <c r="V32" s="1583"/>
      <c r="W32" s="1583"/>
      <c r="Z32" s="530">
        <f t="shared" si="0"/>
        <v>0</v>
      </c>
      <c r="AA32" s="496">
        <f t="shared" si="1"/>
        <v>0</v>
      </c>
    </row>
    <row r="33" spans="3:26" ht="9.75" customHeight="1" hidden="1">
      <c r="C33" s="652"/>
      <c r="D33" s="232"/>
      <c r="E33" s="590" t="s">
        <v>157</v>
      </c>
      <c r="G33" s="1583" t="s">
        <v>158</v>
      </c>
      <c r="H33" s="1583"/>
      <c r="I33" s="1583"/>
      <c r="J33" s="1583"/>
      <c r="K33" s="1583"/>
      <c r="L33" s="1583"/>
      <c r="M33" s="1583"/>
      <c r="N33" s="1583"/>
      <c r="O33" s="1583"/>
      <c r="P33" s="1583"/>
      <c r="Q33" s="1583"/>
      <c r="R33" s="1583"/>
      <c r="S33" s="1583"/>
      <c r="T33" s="1583"/>
      <c r="U33" s="1583"/>
      <c r="V33" s="1583"/>
      <c r="W33" s="1583"/>
      <c r="Z33" s="530"/>
    </row>
    <row r="34" spans="5:28" ht="10.5" customHeight="1" hidden="1">
      <c r="E34" s="592"/>
      <c r="F34" s="276"/>
      <c r="G34" s="1583" t="s">
        <v>159</v>
      </c>
      <c r="H34" s="1583"/>
      <c r="I34" s="1583"/>
      <c r="J34" s="1583"/>
      <c r="K34" s="1583"/>
      <c r="L34" s="1583"/>
      <c r="M34" s="1583"/>
      <c r="N34" s="1583"/>
      <c r="O34" s="1583"/>
      <c r="P34" s="1583"/>
      <c r="Q34" s="1583"/>
      <c r="R34" s="1583"/>
      <c r="S34" s="1583"/>
      <c r="T34" s="1583"/>
      <c r="U34" s="1583"/>
      <c r="V34" s="1583"/>
      <c r="W34" s="1583"/>
      <c r="Z34" s="530">
        <f>IF(C33="x",1,0)</f>
        <v>0</v>
      </c>
      <c r="AA34" s="496">
        <f t="shared" si="1"/>
        <v>0</v>
      </c>
      <c r="AB34" s="593">
        <f>SUM(AA26:AA34)</f>
        <v>0</v>
      </c>
    </row>
    <row r="35" spans="2:27" ht="0.75" customHeight="1" hidden="1">
      <c r="B35" s="594"/>
      <c r="C35" s="258"/>
      <c r="D35" s="258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Z35" s="530"/>
      <c r="AA35" s="496">
        <f>SUM(AA26:AA34)</f>
        <v>0</v>
      </c>
    </row>
    <row r="36" spans="2:24" s="530" customFormat="1" ht="14.25" customHeight="1" hidden="1">
      <c r="B36" s="1136" t="s">
        <v>160</v>
      </c>
      <c r="C36" s="1136"/>
      <c r="D36" s="1136"/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595"/>
      <c r="P36" s="295"/>
      <c r="Q36" s="295"/>
      <c r="R36" s="295"/>
      <c r="S36" s="295"/>
      <c r="T36" s="295"/>
      <c r="U36" s="295"/>
      <c r="V36" s="295"/>
      <c r="W36" s="295"/>
      <c r="X36" s="295"/>
    </row>
    <row r="37" spans="3:24" s="530" customFormat="1" ht="1.5" customHeight="1" hidden="1"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</row>
    <row r="38" spans="2:33" s="518" customFormat="1" ht="14.25" customHeight="1" hidden="1">
      <c r="B38" s="1589">
        <v>2010</v>
      </c>
      <c r="C38" s="1589"/>
      <c r="D38" s="596"/>
      <c r="E38" s="428" t="s">
        <v>134</v>
      </c>
      <c r="F38" s="1596"/>
      <c r="G38" s="1596"/>
      <c r="H38" s="1596"/>
      <c r="I38" s="1596"/>
      <c r="J38" s="1596"/>
      <c r="K38" s="1596"/>
      <c r="L38" s="596"/>
      <c r="M38" s="428" t="s">
        <v>135</v>
      </c>
      <c r="N38" s="1589"/>
      <c r="O38" s="1589"/>
      <c r="P38" s="1597" t="s">
        <v>161</v>
      </c>
      <c r="Q38" s="1597"/>
      <c r="R38" s="653">
        <v>2010</v>
      </c>
      <c r="S38" s="428" t="s">
        <v>134</v>
      </c>
      <c r="T38" s="653"/>
      <c r="U38" s="428" t="s">
        <v>135</v>
      </c>
      <c r="V38" s="653"/>
      <c r="W38" s="428" t="s">
        <v>162</v>
      </c>
      <c r="X38" s="569">
        <f>IF(B38="",0,1)</f>
        <v>1</v>
      </c>
      <c r="Y38" s="569">
        <f>IF(F38="",0,1)</f>
        <v>0</v>
      </c>
      <c r="Z38" s="569">
        <f>IF(N38="",0,1)</f>
        <v>0</v>
      </c>
      <c r="AA38" s="569">
        <f>IF(X38+Y38+Z38=3,1,0)</f>
        <v>0</v>
      </c>
      <c r="AB38" s="428"/>
      <c r="AC38" s="569">
        <f>IF(R38="",0,1)</f>
        <v>1</v>
      </c>
      <c r="AD38" s="569">
        <f>IF(T38="",0,1)</f>
        <v>0</v>
      </c>
      <c r="AE38" s="569">
        <f>IF(V38="",0,1)</f>
        <v>0</v>
      </c>
      <c r="AF38" s="569">
        <f>IF(AC38+AD38+AE38=3,1,0)</f>
        <v>0</v>
      </c>
      <c r="AG38" s="518">
        <f>SUM(X38:AF39)</f>
        <v>2</v>
      </c>
    </row>
    <row r="39" spans="3:28" s="530" customFormat="1" ht="1.5" customHeight="1" hidden="1"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AB39" s="428"/>
    </row>
    <row r="40" spans="1:43" s="486" customFormat="1" ht="15" customHeight="1" hidden="1">
      <c r="A40" s="258"/>
      <c r="B40" s="597" t="s">
        <v>163</v>
      </c>
      <c r="C40" s="1592" t="s">
        <v>164</v>
      </c>
      <c r="D40" s="1592"/>
      <c r="E40" s="1592"/>
      <c r="F40" s="1592"/>
      <c r="G40" s="1592"/>
      <c r="H40" s="1592"/>
      <c r="I40" s="1592"/>
      <c r="J40" s="1592"/>
      <c r="K40" s="1592"/>
      <c r="L40" s="1592"/>
      <c r="M40" s="1592"/>
      <c r="N40" s="1592"/>
      <c r="O40" s="1592"/>
      <c r="P40" s="1592"/>
      <c r="Q40" s="1592"/>
      <c r="R40" s="1592"/>
      <c r="S40" s="1592"/>
      <c r="T40" s="1592"/>
      <c r="U40" s="1592"/>
      <c r="V40" s="1592"/>
      <c r="W40" s="1592"/>
      <c r="X40" s="1592"/>
      <c r="Y40" s="1592"/>
      <c r="Z40" s="1592"/>
      <c r="AA40" s="1592"/>
      <c r="AB40" s="1592"/>
      <c r="AC40" s="1592"/>
      <c r="AD40" s="1592"/>
      <c r="AE40" s="1592"/>
      <c r="AF40" s="1592"/>
      <c r="AQ40" s="529"/>
    </row>
    <row r="41" spans="1:43" s="486" customFormat="1" ht="12.75" customHeight="1" hidden="1">
      <c r="A41" s="258"/>
      <c r="B41" s="599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Q41" s="529"/>
    </row>
    <row r="42" spans="1:43" s="486" customFormat="1" ht="10.5" customHeight="1" hidden="1">
      <c r="A42" s="258"/>
      <c r="B42" s="594"/>
      <c r="C42" s="652"/>
      <c r="E42" s="600" t="s">
        <v>165</v>
      </c>
      <c r="G42" s="1583" t="s">
        <v>166</v>
      </c>
      <c r="H42" s="1583"/>
      <c r="I42" s="1583"/>
      <c r="J42" s="1583"/>
      <c r="K42" s="1583"/>
      <c r="L42" s="1583"/>
      <c r="M42" s="1583"/>
      <c r="N42" s="1583"/>
      <c r="O42" s="1583"/>
      <c r="P42" s="1583"/>
      <c r="Q42" s="1583"/>
      <c r="R42" s="1583"/>
      <c r="S42" s="1583"/>
      <c r="T42" s="1583"/>
      <c r="U42" s="1583"/>
      <c r="V42" s="1583"/>
      <c r="W42" s="1583"/>
      <c r="X42" s="258"/>
      <c r="Y42" s="258"/>
      <c r="Z42" s="258"/>
      <c r="AA42" s="258"/>
      <c r="AB42" s="258"/>
      <c r="AC42" s="258"/>
      <c r="AD42" s="258"/>
      <c r="AE42" s="258"/>
      <c r="AH42" s="486">
        <f aca="true" t="shared" si="2" ref="AH42:AH47">IF(C42="x",1,0)</f>
        <v>0</v>
      </c>
      <c r="AQ42" s="529"/>
    </row>
    <row r="43" spans="1:43" s="486" customFormat="1" ht="10.5" customHeight="1" hidden="1">
      <c r="A43" s="258"/>
      <c r="B43" s="594"/>
      <c r="C43" s="652"/>
      <c r="E43" s="600" t="s">
        <v>167</v>
      </c>
      <c r="G43" s="1583" t="s">
        <v>168</v>
      </c>
      <c r="H43" s="1583"/>
      <c r="I43" s="1583"/>
      <c r="J43" s="1583"/>
      <c r="K43" s="1583"/>
      <c r="L43" s="1583"/>
      <c r="M43" s="1583"/>
      <c r="N43" s="1583"/>
      <c r="O43" s="1583"/>
      <c r="P43" s="1583"/>
      <c r="Q43" s="1583"/>
      <c r="R43" s="1583"/>
      <c r="S43" s="1583"/>
      <c r="T43" s="1583"/>
      <c r="U43" s="1583"/>
      <c r="V43" s="1583"/>
      <c r="W43" s="1583"/>
      <c r="X43" s="258"/>
      <c r="Y43" s="258"/>
      <c r="Z43" s="258"/>
      <c r="AA43" s="258"/>
      <c r="AB43" s="258"/>
      <c r="AC43" s="258"/>
      <c r="AD43" s="258"/>
      <c r="AE43" s="258"/>
      <c r="AH43" s="486">
        <f t="shared" si="2"/>
        <v>0</v>
      </c>
      <c r="AQ43" s="529"/>
    </row>
    <row r="44" spans="1:43" s="486" customFormat="1" ht="10.5" customHeight="1" hidden="1">
      <c r="A44" s="258"/>
      <c r="B44" s="594"/>
      <c r="C44" s="652"/>
      <c r="E44" s="600" t="s">
        <v>170</v>
      </c>
      <c r="G44" s="1583" t="s">
        <v>171</v>
      </c>
      <c r="H44" s="1583"/>
      <c r="I44" s="1583"/>
      <c r="J44" s="1583"/>
      <c r="K44" s="1583"/>
      <c r="L44" s="1583"/>
      <c r="M44" s="1583"/>
      <c r="N44" s="1583"/>
      <c r="O44" s="1583"/>
      <c r="P44" s="1583"/>
      <c r="Q44" s="1583"/>
      <c r="R44" s="1583"/>
      <c r="S44" s="1583"/>
      <c r="T44" s="1583"/>
      <c r="U44" s="1583"/>
      <c r="V44" s="1583"/>
      <c r="W44" s="1583"/>
      <c r="X44" s="258"/>
      <c r="Y44" s="258"/>
      <c r="Z44" s="258"/>
      <c r="AA44" s="258"/>
      <c r="AB44" s="258"/>
      <c r="AC44" s="258"/>
      <c r="AD44" s="258"/>
      <c r="AE44" s="258"/>
      <c r="AH44" s="486">
        <f t="shared" si="2"/>
        <v>0</v>
      </c>
      <c r="AQ44" s="529"/>
    </row>
    <row r="45" spans="1:43" s="486" customFormat="1" ht="10.5" customHeight="1" hidden="1">
      <c r="A45" s="258"/>
      <c r="B45" s="594"/>
      <c r="C45" s="652"/>
      <c r="E45" s="600" t="s">
        <v>172</v>
      </c>
      <c r="G45" s="1583" t="s">
        <v>173</v>
      </c>
      <c r="H45" s="1583"/>
      <c r="I45" s="1583"/>
      <c r="J45" s="1583"/>
      <c r="K45" s="1583"/>
      <c r="L45" s="1583"/>
      <c r="M45" s="1583"/>
      <c r="N45" s="1583"/>
      <c r="O45" s="1583"/>
      <c r="P45" s="1583"/>
      <c r="Q45" s="1583"/>
      <c r="R45" s="1583"/>
      <c r="S45" s="1583"/>
      <c r="T45" s="1583"/>
      <c r="U45" s="1583"/>
      <c r="V45" s="1583"/>
      <c r="W45" s="1583"/>
      <c r="X45" s="258"/>
      <c r="Y45" s="258"/>
      <c r="Z45" s="258"/>
      <c r="AA45" s="258"/>
      <c r="AB45" s="258"/>
      <c r="AC45" s="258"/>
      <c r="AD45" s="258"/>
      <c r="AE45" s="258"/>
      <c r="AH45" s="486">
        <f t="shared" si="2"/>
        <v>0</v>
      </c>
      <c r="AQ45" s="529"/>
    </row>
    <row r="46" spans="1:43" s="486" customFormat="1" ht="10.5" customHeight="1" hidden="1">
      <c r="A46" s="258"/>
      <c r="B46" s="594"/>
      <c r="C46" s="652"/>
      <c r="E46" s="600" t="s">
        <v>174</v>
      </c>
      <c r="G46" s="1583" t="s">
        <v>175</v>
      </c>
      <c r="H46" s="1583"/>
      <c r="I46" s="1583"/>
      <c r="J46" s="1583"/>
      <c r="K46" s="1583"/>
      <c r="L46" s="1583"/>
      <c r="M46" s="1583"/>
      <c r="N46" s="1583"/>
      <c r="O46" s="1583"/>
      <c r="P46" s="1583"/>
      <c r="Q46" s="1583"/>
      <c r="R46" s="1583"/>
      <c r="S46" s="1583"/>
      <c r="T46" s="1583"/>
      <c r="U46" s="1583"/>
      <c r="V46" s="1583"/>
      <c r="W46" s="1583"/>
      <c r="X46" s="258"/>
      <c r="Y46" s="258"/>
      <c r="Z46" s="258"/>
      <c r="AA46" s="258"/>
      <c r="AB46" s="258"/>
      <c r="AC46" s="258"/>
      <c r="AD46" s="258"/>
      <c r="AE46" s="258"/>
      <c r="AH46" s="486">
        <f t="shared" si="2"/>
        <v>0</v>
      </c>
      <c r="AQ46" s="529"/>
    </row>
    <row r="47" spans="1:43" s="486" customFormat="1" ht="10.5" customHeight="1" hidden="1">
      <c r="A47" s="258"/>
      <c r="B47" s="594"/>
      <c r="C47" s="652"/>
      <c r="E47" s="600" t="s">
        <v>176</v>
      </c>
      <c r="G47" s="1583" t="s">
        <v>177</v>
      </c>
      <c r="H47" s="1583"/>
      <c r="I47" s="1583"/>
      <c r="J47" s="1583"/>
      <c r="K47" s="1583"/>
      <c r="L47" s="1583"/>
      <c r="M47" s="1583"/>
      <c r="N47" s="1583"/>
      <c r="O47" s="1583"/>
      <c r="P47" s="1583"/>
      <c r="Q47" s="1583"/>
      <c r="R47" s="1583"/>
      <c r="S47" s="1583"/>
      <c r="T47" s="1583"/>
      <c r="U47" s="1583"/>
      <c r="V47" s="1583"/>
      <c r="W47" s="1583"/>
      <c r="X47" s="258"/>
      <c r="Y47" s="258"/>
      <c r="Z47" s="258"/>
      <c r="AA47" s="258"/>
      <c r="AB47" s="258"/>
      <c r="AC47" s="258"/>
      <c r="AD47" s="258"/>
      <c r="AE47" s="258"/>
      <c r="AH47" s="486">
        <f t="shared" si="2"/>
        <v>0</v>
      </c>
      <c r="AQ47" s="529"/>
    </row>
    <row r="48" spans="1:43" s="486" customFormat="1" ht="10.5" customHeight="1" hidden="1">
      <c r="A48" s="258"/>
      <c r="B48" s="530"/>
      <c r="C48" s="232"/>
      <c r="D48" s="258"/>
      <c r="E48" s="275"/>
      <c r="G48" s="1583" t="s">
        <v>178</v>
      </c>
      <c r="H48" s="1583"/>
      <c r="I48" s="1583"/>
      <c r="J48" s="1583"/>
      <c r="K48" s="1583"/>
      <c r="L48" s="1583"/>
      <c r="M48" s="1583"/>
      <c r="N48" s="1583"/>
      <c r="O48" s="1583"/>
      <c r="P48" s="1583"/>
      <c r="Q48" s="1583"/>
      <c r="R48" s="1583"/>
      <c r="S48" s="1583"/>
      <c r="T48" s="1583"/>
      <c r="U48" s="1583"/>
      <c r="V48" s="1583"/>
      <c r="W48" s="1583"/>
      <c r="X48" s="258"/>
      <c r="Y48" s="258"/>
      <c r="Z48" s="258"/>
      <c r="AA48" s="258"/>
      <c r="AB48" s="258"/>
      <c r="AC48" s="258"/>
      <c r="AD48" s="258"/>
      <c r="AE48" s="258"/>
      <c r="AQ48" s="529"/>
    </row>
    <row r="49" spans="1:43" s="486" customFormat="1" ht="10.5" customHeight="1" hidden="1">
      <c r="A49" s="258"/>
      <c r="B49" s="258"/>
      <c r="C49" s="652"/>
      <c r="E49" s="600" t="s">
        <v>179</v>
      </c>
      <c r="G49" s="1583" t="s">
        <v>180</v>
      </c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1583"/>
      <c r="T49" s="1583"/>
      <c r="U49" s="1583"/>
      <c r="V49" s="1583"/>
      <c r="W49" s="1583"/>
      <c r="X49" s="258"/>
      <c r="Y49" s="258"/>
      <c r="Z49" s="258"/>
      <c r="AA49" s="258"/>
      <c r="AB49" s="258"/>
      <c r="AC49" s="258"/>
      <c r="AD49" s="258"/>
      <c r="AE49" s="258"/>
      <c r="AH49" s="486">
        <f>IF(C49="x",1,0)</f>
        <v>0</v>
      </c>
      <c r="AQ49" s="529"/>
    </row>
    <row r="50" spans="1:43" s="486" customFormat="1" ht="10.5" customHeight="1" hidden="1">
      <c r="A50" s="258"/>
      <c r="B50" s="258"/>
      <c r="C50" s="652"/>
      <c r="E50" s="600" t="s">
        <v>181</v>
      </c>
      <c r="G50" s="1583" t="s">
        <v>182</v>
      </c>
      <c r="H50" s="1583"/>
      <c r="I50" s="1583"/>
      <c r="J50" s="1583"/>
      <c r="K50" s="1583"/>
      <c r="L50" s="1583"/>
      <c r="M50" s="1583"/>
      <c r="N50" s="1583"/>
      <c r="O50" s="1583"/>
      <c r="P50" s="1583"/>
      <c r="Q50" s="1583"/>
      <c r="R50" s="1583"/>
      <c r="S50" s="1583"/>
      <c r="T50" s="1583"/>
      <c r="U50" s="1583"/>
      <c r="V50" s="1583"/>
      <c r="W50" s="1583"/>
      <c r="X50" s="258"/>
      <c r="Y50" s="258"/>
      <c r="Z50" s="258"/>
      <c r="AA50" s="258"/>
      <c r="AB50" s="258"/>
      <c r="AC50" s="258"/>
      <c r="AD50" s="258"/>
      <c r="AE50" s="258"/>
      <c r="AH50" s="486">
        <f>IF(C50="x",1,0)</f>
        <v>0</v>
      </c>
      <c r="AQ50" s="529"/>
    </row>
    <row r="51" spans="1:43" s="486" customFormat="1" ht="10.5" customHeight="1" hidden="1">
      <c r="A51" s="258"/>
      <c r="B51" s="258"/>
      <c r="C51" s="652"/>
      <c r="E51" s="600" t="s">
        <v>183</v>
      </c>
      <c r="G51" s="1583" t="s">
        <v>184</v>
      </c>
      <c r="H51" s="1583"/>
      <c r="I51" s="1583"/>
      <c r="J51" s="1583"/>
      <c r="K51" s="1583"/>
      <c r="L51" s="1583"/>
      <c r="M51" s="1583"/>
      <c r="N51" s="1583"/>
      <c r="O51" s="1583"/>
      <c r="P51" s="1583"/>
      <c r="Q51" s="1583"/>
      <c r="R51" s="1583"/>
      <c r="S51" s="1583"/>
      <c r="T51" s="1583"/>
      <c r="U51" s="1583"/>
      <c r="V51" s="1583"/>
      <c r="W51" s="1583"/>
      <c r="X51" s="258"/>
      <c r="Y51" s="258"/>
      <c r="Z51" s="258"/>
      <c r="AA51" s="258"/>
      <c r="AB51" s="258"/>
      <c r="AC51" s="258"/>
      <c r="AD51" s="258"/>
      <c r="AE51" s="258"/>
      <c r="AH51" s="486">
        <f>IF(C51="x",1,0)</f>
        <v>0</v>
      </c>
      <c r="AQ51" s="529"/>
    </row>
    <row r="52" spans="1:43" s="486" customFormat="1" ht="10.5" customHeight="1" hidden="1">
      <c r="A52" s="258"/>
      <c r="B52" s="258"/>
      <c r="C52" s="652"/>
      <c r="E52" s="600" t="s">
        <v>185</v>
      </c>
      <c r="G52" s="1583" t="s">
        <v>186</v>
      </c>
      <c r="H52" s="1583"/>
      <c r="I52" s="1583"/>
      <c r="J52" s="1583"/>
      <c r="K52" s="1583"/>
      <c r="L52" s="1583"/>
      <c r="M52" s="1583"/>
      <c r="N52" s="1583"/>
      <c r="O52" s="1583"/>
      <c r="P52" s="1583"/>
      <c r="Q52" s="1583"/>
      <c r="R52" s="1583"/>
      <c r="S52" s="1583"/>
      <c r="T52" s="1583"/>
      <c r="U52" s="1583"/>
      <c r="V52" s="1583"/>
      <c r="W52" s="1583"/>
      <c r="X52" s="258"/>
      <c r="Y52" s="258"/>
      <c r="Z52" s="258"/>
      <c r="AA52" s="258"/>
      <c r="AB52" s="258"/>
      <c r="AC52" s="258"/>
      <c r="AD52" s="258"/>
      <c r="AE52" s="258"/>
      <c r="AH52" s="486">
        <f>IF(C52="x",1,0)</f>
        <v>0</v>
      </c>
      <c r="AQ52" s="529"/>
    </row>
    <row r="53" spans="1:43" s="486" customFormat="1" ht="10.5" customHeight="1" hidden="1">
      <c r="A53" s="258"/>
      <c r="B53" s="258"/>
      <c r="C53" s="652"/>
      <c r="E53" s="600" t="s">
        <v>187</v>
      </c>
      <c r="G53" s="1583" t="s">
        <v>188</v>
      </c>
      <c r="H53" s="1583"/>
      <c r="I53" s="1583"/>
      <c r="J53" s="1583"/>
      <c r="K53" s="1583"/>
      <c r="L53" s="654"/>
      <c r="M53" s="1589"/>
      <c r="N53" s="1589"/>
      <c r="O53" s="1589"/>
      <c r="P53" s="1589"/>
      <c r="Q53" s="1589"/>
      <c r="R53" s="1589"/>
      <c r="S53" s="1589"/>
      <c r="T53" s="1589"/>
      <c r="U53" s="654"/>
      <c r="V53" s="654"/>
      <c r="W53" s="654"/>
      <c r="X53" s="258"/>
      <c r="Y53" s="258"/>
      <c r="Z53" s="258"/>
      <c r="AA53" s="258"/>
      <c r="AB53" s="258"/>
      <c r="AC53" s="258"/>
      <c r="AD53" s="258"/>
      <c r="AE53" s="258"/>
      <c r="AH53" s="486">
        <f>IF(C53="x",1,0)</f>
        <v>0</v>
      </c>
      <c r="AI53" s="601">
        <f>SUM(AH42:AH53)-AA27</f>
        <v>0</v>
      </c>
      <c r="AJ53" s="602">
        <v>0</v>
      </c>
      <c r="AQ53" s="529"/>
    </row>
    <row r="54" spans="3:43" s="258" customFormat="1" ht="1.5" customHeight="1" hidden="1">
      <c r="C54" s="594"/>
      <c r="AK54" s="258">
        <f>IF(AND(AI53=0,AJ53=0),1,0)</f>
        <v>1</v>
      </c>
      <c r="AQ54" s="429"/>
    </row>
    <row r="55" spans="2:43" s="258" customFormat="1" ht="14.25" customHeight="1" hidden="1">
      <c r="B55" s="603" t="s">
        <v>189</v>
      </c>
      <c r="C55" s="594"/>
      <c r="AQ55" s="429"/>
    </row>
    <row r="56" spans="2:43" s="258" customFormat="1" ht="1.5" customHeight="1" hidden="1">
      <c r="B56" s="604"/>
      <c r="AQ56" s="429"/>
    </row>
    <row r="57" spans="3:43" s="258" customFormat="1" ht="15.75" customHeight="1" hidden="1">
      <c r="C57" s="605" t="s">
        <v>504</v>
      </c>
      <c r="E57" s="605" t="s">
        <v>506</v>
      </c>
      <c r="G57" s="605" t="s">
        <v>507</v>
      </c>
      <c r="I57" s="605" t="s">
        <v>508</v>
      </c>
      <c r="J57" s="606"/>
      <c r="K57" s="605" t="s">
        <v>190</v>
      </c>
      <c r="L57" s="606"/>
      <c r="M57" s="605" t="s">
        <v>191</v>
      </c>
      <c r="O57" s="605" t="s">
        <v>192</v>
      </c>
      <c r="U57" s="606"/>
      <c r="W57" s="262"/>
      <c r="AQ57" s="429"/>
    </row>
    <row r="58" s="258" customFormat="1" ht="3" customHeight="1" hidden="1">
      <c r="AQ58" s="429"/>
    </row>
    <row r="59" spans="3:43" s="258" customFormat="1" ht="15.75" customHeight="1" hidden="1">
      <c r="C59" s="263" t="s">
        <v>36</v>
      </c>
      <c r="E59" s="263" t="s">
        <v>36</v>
      </c>
      <c r="G59" s="263" t="s">
        <v>36</v>
      </c>
      <c r="I59" s="263" t="s">
        <v>36</v>
      </c>
      <c r="J59" s="262"/>
      <c r="K59" s="263" t="s">
        <v>36</v>
      </c>
      <c r="L59" s="262"/>
      <c r="M59" s="263" t="s">
        <v>36</v>
      </c>
      <c r="O59" s="263" t="s">
        <v>36</v>
      </c>
      <c r="W59" s="262"/>
      <c r="AF59" s="258" t="s">
        <v>193</v>
      </c>
      <c r="AG59" s="258" t="s">
        <v>194</v>
      </c>
      <c r="AQ59" s="429"/>
    </row>
    <row r="60" spans="3:43" s="258" customFormat="1" ht="3" customHeight="1">
      <c r="C60" s="607"/>
      <c r="AQ60" s="429"/>
    </row>
    <row r="61" spans="3:43" s="258" customFormat="1" ht="12.75" customHeight="1" hidden="1">
      <c r="C61" s="594"/>
      <c r="AQ61" s="429"/>
    </row>
    <row r="62" spans="3:43" s="258" customFormat="1" ht="15" customHeight="1">
      <c r="C62" s="594"/>
      <c r="AQ62" s="429"/>
    </row>
    <row r="63" spans="2:23" ht="12.75" customHeight="1">
      <c r="B63" s="603" t="s">
        <v>361</v>
      </c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</row>
    <row r="64" spans="2:23" ht="0.75" customHeight="1">
      <c r="B64" s="604"/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</row>
    <row r="65" spans="2:33" s="530" customFormat="1" ht="22.5" customHeight="1">
      <c r="B65" s="258"/>
      <c r="C65" s="1590" t="s">
        <v>197</v>
      </c>
      <c r="D65" s="1590"/>
      <c r="E65" s="1590"/>
      <c r="F65" s="1590"/>
      <c r="G65" s="1590"/>
      <c r="H65" s="1590"/>
      <c r="I65" s="1590"/>
      <c r="J65" s="1590"/>
      <c r="K65" s="1586">
        <f>IF(Reg!AM3=99,IF(alapadatok!D6="","",alapadatok!D6),"DEMO FELHASZNÁLÓ!REGISZTRÁCIÓ SZÜKSÉGES.")</f>
        <v>1</v>
      </c>
      <c r="L65" s="1586"/>
      <c r="M65" s="1586"/>
      <c r="N65" s="1586"/>
      <c r="O65" s="1586"/>
      <c r="P65" s="1586"/>
      <c r="Q65" s="1586"/>
      <c r="R65" s="1586"/>
      <c r="S65" s="1586"/>
      <c r="T65" s="1586"/>
      <c r="U65" s="1586"/>
      <c r="V65" s="1586"/>
      <c r="W65" s="1586"/>
      <c r="Z65" s="608">
        <f>IF(K65="",0,1)</f>
        <v>1</v>
      </c>
      <c r="AF65" s="530">
        <f>AA66</f>
        <v>1</v>
      </c>
      <c r="AG65" s="530">
        <f>AA66</f>
        <v>1</v>
      </c>
    </row>
    <row r="66" spans="4:27" s="530" customFormat="1" ht="12.75" customHeight="1" hidden="1">
      <c r="D66" s="609"/>
      <c r="E66" s="609"/>
      <c r="F66" s="609"/>
      <c r="G66" s="609"/>
      <c r="H66" s="609"/>
      <c r="I66" s="609"/>
      <c r="J66" s="609"/>
      <c r="K66" s="609"/>
      <c r="L66" s="609"/>
      <c r="M66" s="609"/>
      <c r="N66" s="609"/>
      <c r="O66" s="609"/>
      <c r="P66" s="609"/>
      <c r="Q66" s="609"/>
      <c r="R66" s="609"/>
      <c r="S66" s="609"/>
      <c r="T66" s="609"/>
      <c r="U66" s="609"/>
      <c r="V66" s="609"/>
      <c r="W66" s="609"/>
      <c r="AA66" s="608">
        <f>IF((Z65+Z66)&lt;1,0,1)</f>
        <v>1</v>
      </c>
    </row>
    <row r="67" spans="3:32" s="530" customFormat="1" ht="12" customHeight="1" hidden="1">
      <c r="C67" s="1137" t="s">
        <v>198</v>
      </c>
      <c r="D67" s="1137"/>
      <c r="E67" s="1137"/>
      <c r="F67" s="1137"/>
      <c r="G67" s="1137"/>
      <c r="H67" s="1586"/>
      <c r="I67" s="1586"/>
      <c r="J67" s="1586"/>
      <c r="K67" s="1586"/>
      <c r="L67" s="1586"/>
      <c r="M67" s="1586"/>
      <c r="N67" s="1586"/>
      <c r="O67" s="1586"/>
      <c r="P67" s="1586"/>
      <c r="Q67" s="570"/>
      <c r="R67" s="571" t="s">
        <v>199</v>
      </c>
      <c r="S67" s="1587"/>
      <c r="T67" s="1587"/>
      <c r="U67" s="1587"/>
      <c r="V67" s="1587"/>
      <c r="W67" s="572"/>
      <c r="Z67" s="279">
        <f>IF(H67="",0,1)</f>
        <v>0</v>
      </c>
      <c r="AA67" s="279">
        <f>IF(S67="",0,1)</f>
        <v>0</v>
      </c>
      <c r="AF67" s="530">
        <f>Z67+AA67</f>
        <v>0</v>
      </c>
    </row>
    <row r="68" spans="3:27" s="530" customFormat="1" ht="8.25" customHeight="1">
      <c r="C68" s="269"/>
      <c r="D68" s="269"/>
      <c r="E68" s="269"/>
      <c r="F68" s="269"/>
      <c r="G68" s="269"/>
      <c r="H68" s="648"/>
      <c r="I68" s="648"/>
      <c r="J68" s="648"/>
      <c r="K68" s="648"/>
      <c r="L68" s="648"/>
      <c r="M68" s="648"/>
      <c r="N68" s="648"/>
      <c r="O68" s="648"/>
      <c r="P68" s="648"/>
      <c r="Q68" s="570"/>
      <c r="R68" s="571"/>
      <c r="S68" s="649"/>
      <c r="T68" s="649"/>
      <c r="U68" s="649"/>
      <c r="V68" s="649"/>
      <c r="W68" s="572"/>
      <c r="Z68" s="279"/>
      <c r="AA68" s="279"/>
    </row>
    <row r="69" spans="3:23" s="530" customFormat="1" ht="12.75" customHeight="1" hidden="1">
      <c r="C69" s="1133" t="s">
        <v>737</v>
      </c>
      <c r="D69" s="1133"/>
      <c r="E69" s="1133"/>
      <c r="F69" s="1133"/>
      <c r="G69" s="1133"/>
      <c r="H69" s="1133"/>
      <c r="I69" s="1591" t="s">
        <v>36</v>
      </c>
      <c r="J69" s="1591"/>
      <c r="K69" s="1591"/>
      <c r="L69" s="1591"/>
      <c r="M69" s="1591"/>
      <c r="N69" s="1591"/>
      <c r="O69" s="1591"/>
      <c r="P69" s="1591"/>
      <c r="Q69" s="1591"/>
      <c r="R69" s="1591"/>
      <c r="S69" s="1591"/>
      <c r="T69" s="1591"/>
      <c r="U69" s="1591"/>
      <c r="V69" s="1591"/>
      <c r="W69" s="1591"/>
    </row>
    <row r="70" spans="3:32" s="530" customFormat="1" ht="14.25" customHeight="1" hidden="1">
      <c r="C70" s="1148" t="s">
        <v>200</v>
      </c>
      <c r="D70" s="1148"/>
      <c r="E70" s="1148"/>
      <c r="F70" s="1148"/>
      <c r="G70" s="1148"/>
      <c r="H70" s="1148"/>
      <c r="I70" s="1593"/>
      <c r="J70" s="1593"/>
      <c r="K70" s="1593"/>
      <c r="L70" s="1593"/>
      <c r="M70" s="1593"/>
      <c r="N70" s="1593"/>
      <c r="O70" s="1593"/>
      <c r="P70" s="1593"/>
      <c r="Q70" s="1593"/>
      <c r="R70" s="1593"/>
      <c r="S70" s="1593"/>
      <c r="T70" s="1593"/>
      <c r="U70" s="1593"/>
      <c r="V70" s="1593"/>
      <c r="W70" s="1593"/>
      <c r="Z70" s="279">
        <f>IF(I70="",0,1)</f>
        <v>0</v>
      </c>
      <c r="AF70" s="530">
        <f>Z70</f>
        <v>0</v>
      </c>
    </row>
    <row r="71" spans="2:37" s="530" customFormat="1" ht="18" customHeight="1">
      <c r="B71" s="258"/>
      <c r="C71" s="1137" t="s">
        <v>91</v>
      </c>
      <c r="D71" s="1594"/>
      <c r="E71" s="1594"/>
      <c r="F71" s="1594"/>
      <c r="G71" s="1594"/>
      <c r="H71" s="1594"/>
      <c r="I71" s="1594"/>
      <c r="J71" s="655"/>
      <c r="K71" s="1595">
        <f>'1. oldal'!T74</f>
        <v>0</v>
      </c>
      <c r="L71" s="1580"/>
      <c r="M71" s="1580"/>
      <c r="N71" s="1580"/>
      <c r="O71" s="1580"/>
      <c r="P71" s="1580"/>
      <c r="Q71" s="1580"/>
      <c r="R71" s="1580"/>
      <c r="S71" s="1580"/>
      <c r="T71" s="277"/>
      <c r="U71" s="610"/>
      <c r="V71" s="610"/>
      <c r="W71" s="610"/>
      <c r="Z71" s="279">
        <f>IF(K71="",0,1)</f>
        <v>1</v>
      </c>
      <c r="AA71" s="530">
        <f>IF(T71="",0,1)</f>
        <v>0</v>
      </c>
      <c r="AC71" s="530">
        <f>T71</f>
        <v>0</v>
      </c>
      <c r="AD71" s="530" t="e">
        <f>IF(AD74&lt;0,6,1)</f>
        <v>#VALUE!</v>
      </c>
      <c r="AF71" s="530">
        <f>Z71</f>
        <v>1</v>
      </c>
      <c r="AK71" s="656" t="s">
        <v>92</v>
      </c>
    </row>
    <row r="72" spans="2:33" s="530" customFormat="1" ht="12.75" customHeight="1" hidden="1">
      <c r="B72" s="258"/>
      <c r="C72" s="1140" t="s">
        <v>724</v>
      </c>
      <c r="D72" s="1140"/>
      <c r="E72" s="1140"/>
      <c r="F72" s="1140"/>
      <c r="G72" s="1140"/>
      <c r="H72" s="1140"/>
      <c r="I72" s="1140"/>
      <c r="J72" s="276"/>
      <c r="K72" s="1588" t="s">
        <v>36</v>
      </c>
      <c r="L72" s="1588"/>
      <c r="M72" s="1588"/>
      <c r="N72" s="1588"/>
      <c r="O72" s="1588"/>
      <c r="P72" s="1588"/>
      <c r="Q72" s="1588"/>
      <c r="R72" s="1588"/>
      <c r="S72" s="1588"/>
      <c r="T72" s="1588"/>
      <c r="U72" s="1588"/>
      <c r="V72" s="1588"/>
      <c r="W72" s="1588"/>
      <c r="AF72" s="530">
        <f>AA71</f>
        <v>0</v>
      </c>
      <c r="AG72" s="530">
        <f>AA71</f>
        <v>0</v>
      </c>
    </row>
    <row r="73" spans="2:37" s="530" customFormat="1" ht="12" customHeight="1" hidden="1">
      <c r="B73" s="258"/>
      <c r="C73" s="1144" t="s">
        <v>203</v>
      </c>
      <c r="D73" s="1144"/>
      <c r="E73" s="1144"/>
      <c r="F73" s="1144"/>
      <c r="G73" s="1144"/>
      <c r="H73" s="1144"/>
      <c r="I73" s="1144"/>
      <c r="J73" s="276"/>
      <c r="K73" s="1584"/>
      <c r="L73" s="1584"/>
      <c r="M73" s="1584"/>
      <c r="N73" s="1584"/>
      <c r="O73" s="1584"/>
      <c r="P73" s="1584"/>
      <c r="Q73" s="1584"/>
      <c r="R73" s="1584"/>
      <c r="S73" s="1584"/>
      <c r="T73" s="1584"/>
      <c r="U73" s="1584"/>
      <c r="V73" s="1584"/>
      <c r="W73" s="1584"/>
      <c r="Z73" s="530">
        <f>IF(K73="",0,1)</f>
        <v>0</v>
      </c>
      <c r="AD73" s="530">
        <v>30000000</v>
      </c>
      <c r="AF73" s="530">
        <f>Z73</f>
        <v>0</v>
      </c>
      <c r="AG73" s="530">
        <f>Z73</f>
        <v>0</v>
      </c>
      <c r="AK73" s="279"/>
    </row>
    <row r="74" spans="2:37" s="530" customFormat="1" ht="13.5" customHeight="1" hidden="1">
      <c r="B74" s="258"/>
      <c r="C74" s="1137" t="s">
        <v>204</v>
      </c>
      <c r="D74" s="1137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269"/>
      <c r="P74" s="1585"/>
      <c r="Q74" s="1585"/>
      <c r="R74" s="1585"/>
      <c r="S74" s="1585"/>
      <c r="T74" s="1585"/>
      <c r="U74" s="1585"/>
      <c r="V74" s="1585"/>
      <c r="W74" s="1585"/>
      <c r="Z74" s="530">
        <f>IF(P74="",0,1)</f>
        <v>0</v>
      </c>
      <c r="AC74" s="530">
        <f>LEFT(T71,8)</f>
      </c>
      <c r="AD74" s="530" t="e">
        <f>AC74-AD73</f>
        <v>#VALUE!</v>
      </c>
      <c r="AF74" s="530">
        <f>Z74</f>
        <v>0</v>
      </c>
      <c r="AG74" s="530">
        <f>Z74</f>
        <v>0</v>
      </c>
      <c r="AK74" s="279"/>
    </row>
    <row r="75" spans="2:23" s="530" customFormat="1" ht="4.5" customHeight="1">
      <c r="B75" s="258"/>
      <c r="C75" s="1144"/>
      <c r="D75" s="1144"/>
      <c r="E75" s="1144"/>
      <c r="F75" s="1144"/>
      <c r="G75" s="1144"/>
      <c r="H75" s="1144"/>
      <c r="I75" s="1144"/>
      <c r="J75" s="276"/>
      <c r="K75" s="1136" t="s">
        <v>726</v>
      </c>
      <c r="L75" s="1136"/>
      <c r="M75" s="1136"/>
      <c r="N75" s="1136"/>
      <c r="O75" s="1136"/>
      <c r="P75" s="1136"/>
      <c r="Q75" s="1136"/>
      <c r="R75" s="1136"/>
      <c r="S75" s="1136"/>
      <c r="T75" s="1136"/>
      <c r="U75" s="1136"/>
      <c r="V75" s="1136"/>
      <c r="W75" s="1136"/>
    </row>
    <row r="76" spans="2:33" s="530" customFormat="1" ht="21.75" customHeight="1">
      <c r="B76" s="258"/>
      <c r="C76" s="1137" t="s">
        <v>93</v>
      </c>
      <c r="D76" s="1137"/>
      <c r="E76" s="1137"/>
      <c r="F76" s="1137"/>
      <c r="G76" s="1137"/>
      <c r="H76" s="1137"/>
      <c r="I76" s="1137"/>
      <c r="J76" s="1137"/>
      <c r="K76" s="1582">
        <f>'1. oldal'!K79:W79</f>
        <v>0</v>
      </c>
      <c r="L76" s="1582"/>
      <c r="M76" s="1582"/>
      <c r="N76" s="1582"/>
      <c r="O76" s="1582"/>
      <c r="P76" s="1582"/>
      <c r="Q76" s="1582"/>
      <c r="R76" s="1582"/>
      <c r="S76" s="1582"/>
      <c r="T76" s="1582"/>
      <c r="U76" s="1582"/>
      <c r="V76" s="1582"/>
      <c r="W76" s="1582"/>
      <c r="Z76" s="530">
        <f>IF(K76="",0,1)</f>
        <v>1</v>
      </c>
      <c r="AF76" s="530">
        <f>Z76</f>
        <v>1</v>
      </c>
      <c r="AG76" s="530">
        <f>Z76</f>
        <v>1</v>
      </c>
    </row>
    <row r="77" spans="4:27" s="279" customFormat="1" ht="12.75" customHeight="1" hidden="1"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530"/>
      <c r="Z77" s="279">
        <f>IF(K76="",0,1)</f>
        <v>1</v>
      </c>
      <c r="AA77" s="279">
        <f>IF((Z76+Z77)&lt;1,0,1)</f>
        <v>1</v>
      </c>
    </row>
    <row r="78" spans="2:23" s="530" customFormat="1" ht="12.75" customHeight="1" hidden="1">
      <c r="B78" s="258"/>
      <c r="C78" s="1140"/>
      <c r="D78" s="1140"/>
      <c r="E78" s="1140"/>
      <c r="F78" s="1140"/>
      <c r="G78" s="1140"/>
      <c r="H78" s="1140"/>
      <c r="I78" s="1140"/>
      <c r="J78" s="1140"/>
      <c r="K78" s="1140"/>
      <c r="L78" s="1140"/>
      <c r="M78" s="1140"/>
      <c r="N78" s="1140"/>
      <c r="O78" s="1140"/>
      <c r="P78" s="1140"/>
      <c r="Q78" s="1140"/>
      <c r="R78" s="1140"/>
      <c r="S78" s="1140"/>
      <c r="T78" s="1140"/>
      <c r="U78" s="1140"/>
      <c r="V78" s="1140"/>
      <c r="W78" s="1140"/>
    </row>
    <row r="79" spans="2:24" s="611" customFormat="1" ht="14.25" customHeight="1" hidden="1">
      <c r="B79" s="612"/>
      <c r="C79" s="1138" t="s">
        <v>206</v>
      </c>
      <c r="D79" s="1138"/>
      <c r="E79" s="1138"/>
      <c r="F79" s="1138"/>
      <c r="G79" s="1138"/>
      <c r="H79" s="1138"/>
      <c r="I79" s="1581"/>
      <c r="J79" s="1581"/>
      <c r="K79" s="1581"/>
      <c r="L79" s="1581"/>
      <c r="M79" s="1581"/>
      <c r="N79" s="1581"/>
      <c r="O79" s="1581"/>
      <c r="P79" s="1581"/>
      <c r="Q79" s="1581"/>
      <c r="R79" s="1581"/>
      <c r="S79" s="1581"/>
      <c r="T79" s="1581"/>
      <c r="U79" s="1581"/>
      <c r="V79" s="1581"/>
      <c r="W79" s="1581"/>
      <c r="X79" s="530"/>
    </row>
    <row r="80" spans="4:33" s="530" customFormat="1" ht="12.75" customHeight="1" hidden="1"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Z80" s="530">
        <f>IF(I79="",0,1)</f>
        <v>0</v>
      </c>
      <c r="AA80" s="530">
        <f>IF((Z79+Z80)&lt;1,0,1)</f>
        <v>0</v>
      </c>
      <c r="AF80" s="530">
        <f>Z81</f>
        <v>0</v>
      </c>
      <c r="AG80" s="530">
        <f>Z81</f>
        <v>0</v>
      </c>
    </row>
    <row r="81" spans="2:33" s="530" customFormat="1" ht="13.5" customHeight="1" hidden="1">
      <c r="B81" s="258"/>
      <c r="C81" s="1137" t="s">
        <v>207</v>
      </c>
      <c r="D81" s="1137"/>
      <c r="E81" s="1137"/>
      <c r="F81" s="1137"/>
      <c r="G81" s="1137"/>
      <c r="H81" s="1137"/>
      <c r="I81" s="1137"/>
      <c r="J81" s="1137"/>
      <c r="K81" s="1582"/>
      <c r="L81" s="1582"/>
      <c r="M81" s="1582"/>
      <c r="N81" s="1582"/>
      <c r="O81" s="1582"/>
      <c r="P81" s="1582"/>
      <c r="Q81" s="1582"/>
      <c r="R81" s="1582"/>
      <c r="S81" s="1582"/>
      <c r="T81" s="1582"/>
      <c r="U81" s="1582"/>
      <c r="V81" s="1582"/>
      <c r="W81" s="1582"/>
      <c r="Z81" s="530">
        <f>IF(K81="",0,1)</f>
        <v>0</v>
      </c>
      <c r="AF81" s="279"/>
      <c r="AG81" s="279"/>
    </row>
    <row r="82" spans="2:33" s="279" customFormat="1" ht="6" customHeight="1">
      <c r="B82" s="602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530"/>
      <c r="AF82" s="530">
        <f>Z83</f>
        <v>1</v>
      </c>
      <c r="AG82" s="530">
        <f>Z83</f>
        <v>1</v>
      </c>
    </row>
    <row r="83" spans="2:33" s="530" customFormat="1" ht="24.75" customHeight="1">
      <c r="B83" s="258"/>
      <c r="C83" s="1144" t="s">
        <v>94</v>
      </c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276"/>
      <c r="P83" s="1578">
        <f>IF(alapadatok!D15="","",alapadatok!D15)</f>
        <v>2</v>
      </c>
      <c r="Q83" s="1578"/>
      <c r="R83" s="1578"/>
      <c r="S83" s="1578"/>
      <c r="T83" s="1578"/>
      <c r="U83" s="1578"/>
      <c r="V83" s="1578"/>
      <c r="W83" s="1578"/>
      <c r="Z83" s="530">
        <f>IF(P83="",0,1)</f>
        <v>1</v>
      </c>
      <c r="AA83" s="530">
        <f>Z83</f>
        <v>1</v>
      </c>
      <c r="AF83" s="530">
        <v>2</v>
      </c>
      <c r="AG83" s="530" t="e">
        <f>AD71</f>
        <v>#VALUE!</v>
      </c>
    </row>
    <row r="84" spans="3:33" s="530" customFormat="1" ht="24" customHeight="1">
      <c r="C84" s="276" t="s">
        <v>95</v>
      </c>
      <c r="D84" s="276"/>
      <c r="E84" s="276"/>
      <c r="F84" s="276"/>
      <c r="G84" s="276"/>
      <c r="H84" s="1578">
        <f>IF(alapadatok!I15="","",alapadatok!I15)</f>
        <v>22</v>
      </c>
      <c r="I84" s="1578"/>
      <c r="J84" s="1578"/>
      <c r="K84" s="1578"/>
      <c r="L84" s="1578"/>
      <c r="M84" s="1578"/>
      <c r="N84" s="1578"/>
      <c r="O84" s="1578"/>
      <c r="P84" s="276" t="s">
        <v>208</v>
      </c>
      <c r="Q84" s="276"/>
      <c r="R84" s="276"/>
      <c r="S84" s="1579" t="str">
        <f>'1. oldal'!P87</f>
        <v>a</v>
      </c>
      <c r="T84" s="1580"/>
      <c r="U84" s="1580"/>
      <c r="V84" s="1580"/>
      <c r="W84" s="1580"/>
      <c r="AF84" s="496">
        <f>SUM(AF65:AF83)</f>
        <v>6</v>
      </c>
      <c r="AG84" s="496" t="e">
        <f>SUM(AG65:AG83)</f>
        <v>#VALUE!</v>
      </c>
    </row>
    <row r="85" spans="3:27" s="279" customFormat="1" ht="12.75" customHeight="1" hidden="1">
      <c r="C85" s="1571" t="s">
        <v>209</v>
      </c>
      <c r="D85" s="1571"/>
      <c r="E85" s="1571"/>
      <c r="F85" s="1571"/>
      <c r="G85" s="1571"/>
      <c r="H85" s="1571"/>
      <c r="I85" s="1571"/>
      <c r="J85" s="1571"/>
      <c r="K85" s="1571"/>
      <c r="L85" s="1571"/>
      <c r="M85" s="1571"/>
      <c r="N85" s="1571"/>
      <c r="O85" s="613"/>
      <c r="P85" s="614" t="s">
        <v>726</v>
      </c>
      <c r="Q85" s="614"/>
      <c r="R85" s="615" t="s">
        <v>134</v>
      </c>
      <c r="S85" s="615"/>
      <c r="T85" s="614" t="s">
        <v>726</v>
      </c>
      <c r="U85" s="615" t="s">
        <v>135</v>
      </c>
      <c r="V85" s="614" t="s">
        <v>726</v>
      </c>
      <c r="W85" s="615" t="s">
        <v>210</v>
      </c>
      <c r="X85" s="616">
        <f>IF(P85="",0,1)</f>
        <v>1</v>
      </c>
      <c r="Y85" s="279">
        <f>IF(T85="",0,1)</f>
        <v>1</v>
      </c>
      <c r="Z85" s="279">
        <f>IF(V85="",0,1)</f>
        <v>1</v>
      </c>
      <c r="AA85" s="279">
        <f>IF(X85+Y85+Z85=3,1,0)</f>
        <v>1</v>
      </c>
    </row>
    <row r="86" spans="3:27" s="279" customFormat="1" ht="12.75" customHeight="1" hidden="1">
      <c r="C86" s="1571" t="s">
        <v>211</v>
      </c>
      <c r="D86" s="1571"/>
      <c r="E86" s="1571"/>
      <c r="F86" s="1571"/>
      <c r="G86" s="1571"/>
      <c r="H86" s="1571"/>
      <c r="I86" s="1571"/>
      <c r="J86" s="1571"/>
      <c r="K86" s="1571"/>
      <c r="L86" s="1571"/>
      <c r="M86" s="1571"/>
      <c r="N86" s="1571"/>
      <c r="O86" s="613"/>
      <c r="P86" s="614" t="s">
        <v>726</v>
      </c>
      <c r="Q86" s="614"/>
      <c r="R86" s="615" t="s">
        <v>134</v>
      </c>
      <c r="S86" s="615"/>
      <c r="T86" s="614" t="s">
        <v>726</v>
      </c>
      <c r="U86" s="615" t="s">
        <v>135</v>
      </c>
      <c r="V86" s="614" t="s">
        <v>726</v>
      </c>
      <c r="W86" s="615" t="s">
        <v>210</v>
      </c>
      <c r="X86" s="616">
        <f>IF(P86="",0,1)</f>
        <v>1</v>
      </c>
      <c r="Y86" s="279">
        <f>IF(T86="",0,1)</f>
        <v>1</v>
      </c>
      <c r="Z86" s="279">
        <f>IF(V86="",0,1)</f>
        <v>1</v>
      </c>
      <c r="AA86" s="279">
        <f>IF(X86+Y86+Z86=3,1,0)</f>
        <v>1</v>
      </c>
    </row>
    <row r="87" spans="3:29" s="279" customFormat="1" ht="12.75" customHeight="1" hidden="1">
      <c r="C87" s="1571" t="s">
        <v>212</v>
      </c>
      <c r="D87" s="1571"/>
      <c r="E87" s="1571"/>
      <c r="F87" s="1571"/>
      <c r="G87" s="1571"/>
      <c r="H87" s="1571"/>
      <c r="I87" s="1571"/>
      <c r="J87" s="1571"/>
      <c r="K87" s="1571"/>
      <c r="L87" s="1571"/>
      <c r="M87" s="1571"/>
      <c r="N87" s="1571"/>
      <c r="O87" s="613"/>
      <c r="P87" s="614"/>
      <c r="Q87" s="614"/>
      <c r="R87" s="615" t="s">
        <v>134</v>
      </c>
      <c r="S87" s="615" t="s">
        <v>726</v>
      </c>
      <c r="T87" s="614"/>
      <c r="U87" s="615" t="s">
        <v>135</v>
      </c>
      <c r="V87" s="614"/>
      <c r="W87" s="615" t="s">
        <v>210</v>
      </c>
      <c r="X87" s="616">
        <f>IF(P87="",0,1)</f>
        <v>0</v>
      </c>
      <c r="Y87" s="279">
        <f>IF(T87="",0,1)</f>
        <v>0</v>
      </c>
      <c r="Z87" s="279">
        <f>IF(V87="",0,1)</f>
        <v>0</v>
      </c>
      <c r="AA87" s="279">
        <f>IF(X87+Y87+Z87=3,1,0)</f>
        <v>0</v>
      </c>
      <c r="AB87" s="279">
        <f>X87+Y87+Z87</f>
        <v>0</v>
      </c>
      <c r="AC87" s="279">
        <f>IF((AB87&lt;3),0,1)</f>
        <v>0</v>
      </c>
    </row>
    <row r="88" spans="3:27" s="279" customFormat="1" ht="12.75" customHeight="1" hidden="1">
      <c r="C88" s="1572"/>
      <c r="D88" s="1572"/>
      <c r="E88" s="1572"/>
      <c r="F88" s="1572"/>
      <c r="G88" s="1572"/>
      <c r="H88" s="1572"/>
      <c r="I88" s="1572"/>
      <c r="J88" s="615"/>
      <c r="K88" s="616"/>
      <c r="L88" s="616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AA88" s="279">
        <f>SUM(AA85:AA86)</f>
        <v>2</v>
      </c>
    </row>
    <row r="89" spans="3:24" s="279" customFormat="1" ht="12.75" customHeight="1" hidden="1">
      <c r="C89" s="1572"/>
      <c r="D89" s="1572"/>
      <c r="E89" s="1572"/>
      <c r="F89" s="1572"/>
      <c r="G89" s="1572"/>
      <c r="H89" s="1572"/>
      <c r="I89" s="1572"/>
      <c r="J89" s="615"/>
      <c r="K89" s="616"/>
      <c r="L89" s="616"/>
      <c r="M89" s="617"/>
      <c r="N89" s="617"/>
      <c r="O89" s="617"/>
      <c r="P89" s="617"/>
      <c r="Q89" s="617"/>
      <c r="R89" s="617"/>
      <c r="S89" s="617"/>
      <c r="T89" s="617"/>
      <c r="U89" s="617"/>
      <c r="V89" s="617"/>
      <c r="W89" s="617"/>
      <c r="X89" s="617"/>
    </row>
    <row r="90" spans="2:35" ht="6" customHeight="1">
      <c r="B90" s="603"/>
      <c r="AI90" s="593"/>
    </row>
    <row r="91" spans="32:33" ht="36.75" customHeight="1">
      <c r="AF91" s="530"/>
      <c r="AG91" s="530"/>
    </row>
    <row r="92" spans="2:35" ht="12.75">
      <c r="B92" s="603" t="s">
        <v>96</v>
      </c>
      <c r="AH92" s="496">
        <f>MAX(AF86:AG86)</f>
        <v>0</v>
      </c>
      <c r="AI92" s="593">
        <f>IF(AH92=13,1,0)</f>
        <v>0</v>
      </c>
    </row>
    <row r="93" spans="2:4" ht="5.25" customHeight="1">
      <c r="B93" s="225"/>
      <c r="C93" s="591"/>
      <c r="D93" s="591"/>
    </row>
    <row r="94" spans="2:4" ht="12.75" hidden="1">
      <c r="B94" s="225"/>
      <c r="C94" s="591"/>
      <c r="D94" s="591"/>
    </row>
    <row r="95" spans="2:37" ht="26.25" customHeight="1">
      <c r="B95" s="1570" t="s">
        <v>97</v>
      </c>
      <c r="C95" s="1560"/>
      <c r="D95" s="1560"/>
      <c r="E95" s="1560"/>
      <c r="F95" s="1560"/>
      <c r="G95" s="1560"/>
      <c r="H95" s="1560"/>
      <c r="I95" s="1560"/>
      <c r="J95" s="1560"/>
      <c r="K95" s="1560"/>
      <c r="L95" s="1560"/>
      <c r="M95" s="1560"/>
      <c r="N95" s="1560"/>
      <c r="O95" s="1560"/>
      <c r="P95" s="1560"/>
      <c r="Q95" s="1560"/>
      <c r="R95" s="1560"/>
      <c r="S95" s="657"/>
      <c r="T95" s="1573">
        <f>főkönyv!B190</f>
        <v>0</v>
      </c>
      <c r="U95" s="1574"/>
      <c r="V95" s="618"/>
      <c r="W95" s="546"/>
      <c r="AK95" s="302" t="s">
        <v>817</v>
      </c>
    </row>
    <row r="96" spans="2:4" ht="12.75" hidden="1">
      <c r="B96" s="225"/>
      <c r="C96" s="591"/>
      <c r="D96" s="591"/>
    </row>
    <row r="97" spans="2:24" ht="51.75" customHeight="1">
      <c r="B97" s="619"/>
      <c r="C97" s="620"/>
      <c r="D97" s="620"/>
      <c r="M97" s="302"/>
      <c r="N97" s="302"/>
      <c r="O97" s="302"/>
      <c r="W97" s="621"/>
      <c r="X97" s="622"/>
    </row>
    <row r="98" ht="3.75" customHeight="1"/>
    <row r="99" ht="12.75" hidden="1"/>
    <row r="100" spans="1:25" ht="15">
      <c r="A100" s="496"/>
      <c r="B100" s="577" t="s">
        <v>163</v>
      </c>
      <c r="C100" s="603" t="s">
        <v>321</v>
      </c>
      <c r="D100" s="603"/>
      <c r="E100" s="603"/>
      <c r="F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530"/>
    </row>
    <row r="101" spans="2:25" s="623" customFormat="1" ht="17.25" customHeight="1">
      <c r="B101" s="624" t="str">
        <f>'2. oldal'!B82</f>
        <v>Készítette:</v>
      </c>
      <c r="C101" s="624"/>
      <c r="D101" s="624"/>
      <c r="E101" s="624"/>
      <c r="F101" s="624"/>
      <c r="G101" s="623" t="str">
        <f>'2. oldal'!D82</f>
        <v>www.iparuzes.hu                   .</v>
      </c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</row>
    <row r="102" spans="2:25" s="623" customFormat="1" ht="17.25" customHeight="1">
      <c r="B102" s="624"/>
      <c r="C102" s="624"/>
      <c r="D102" s="624"/>
      <c r="E102" s="624"/>
      <c r="F102" s="624"/>
      <c r="N102" s="624"/>
      <c r="O102" s="624"/>
      <c r="P102" s="624"/>
      <c r="Q102" s="624"/>
      <c r="R102" s="624"/>
      <c r="S102" s="624"/>
      <c r="T102" s="624"/>
      <c r="U102" s="624"/>
      <c r="V102" s="624"/>
      <c r="W102" s="624"/>
      <c r="X102" s="624"/>
      <c r="Y102" s="624"/>
    </row>
    <row r="103" spans="2:25" s="625" customFormat="1" ht="15">
      <c r="B103" s="546"/>
      <c r="C103" s="1567" t="str">
        <f>'2. oldal'!B81</f>
        <v>Szabadszállás</v>
      </c>
      <c r="D103" s="1567"/>
      <c r="E103" s="1567"/>
      <c r="F103" s="1567"/>
      <c r="G103" s="1567"/>
      <c r="H103" s="1567"/>
      <c r="I103" s="1567"/>
      <c r="J103" s="1567"/>
      <c r="K103" s="1567"/>
      <c r="L103" s="1567"/>
      <c r="M103" s="1567"/>
      <c r="N103" s="1567"/>
      <c r="O103" s="1567"/>
      <c r="P103" s="658"/>
      <c r="Q103" s="658"/>
      <c r="R103" s="659">
        <v>2011</v>
      </c>
      <c r="S103" s="429" t="s">
        <v>134</v>
      </c>
      <c r="T103" s="659">
        <v>12</v>
      </c>
      <c r="U103" s="546" t="s">
        <v>135</v>
      </c>
      <c r="V103" s="659">
        <v>20</v>
      </c>
      <c r="W103" s="546" t="s">
        <v>210</v>
      </c>
      <c r="X103" s="546"/>
      <c r="Y103" s="275"/>
    </row>
    <row r="104" spans="1:25" ht="15">
      <c r="A104" s="496"/>
      <c r="B104" s="258"/>
      <c r="C104" s="626"/>
      <c r="D104" s="627"/>
      <c r="E104" s="626"/>
      <c r="F104" s="628"/>
      <c r="N104" s="629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530"/>
    </row>
    <row r="105" spans="1:25" ht="32.25" customHeight="1">
      <c r="A105" s="496"/>
      <c r="B105" s="258"/>
      <c r="C105" s="258"/>
      <c r="D105" s="258"/>
      <c r="E105" s="258"/>
      <c r="F105" s="258"/>
      <c r="N105" s="258"/>
      <c r="O105" s="1568"/>
      <c r="P105" s="1568"/>
      <c r="Q105" s="1568"/>
      <c r="R105" s="1568"/>
      <c r="S105" s="1568"/>
      <c r="T105" s="1568"/>
      <c r="U105" s="1568"/>
      <c r="V105" s="1568"/>
      <c r="W105" s="1568"/>
      <c r="X105" s="486"/>
      <c r="Y105" s="530"/>
    </row>
    <row r="106" spans="1:25" ht="15">
      <c r="A106" s="496"/>
      <c r="B106" s="630">
        <f>IF(C106="",0,1)</f>
        <v>0</v>
      </c>
      <c r="C106" s="631"/>
      <c r="D106" s="258"/>
      <c r="E106" s="258"/>
      <c r="F106" s="258"/>
      <c r="N106" s="258"/>
      <c r="O106" s="1569" t="s">
        <v>98</v>
      </c>
      <c r="P106" s="1569"/>
      <c r="Q106" s="1569"/>
      <c r="R106" s="1569"/>
      <c r="S106" s="1569"/>
      <c r="T106" s="1569"/>
      <c r="U106" s="1569"/>
      <c r="V106" s="1569"/>
      <c r="W106" s="1569"/>
      <c r="X106" s="258"/>
      <c r="Y106" s="530"/>
    </row>
    <row r="107" spans="2:25" s="625" customFormat="1" ht="8.25" customHeight="1">
      <c r="B107" s="632"/>
      <c r="C107" s="633"/>
      <c r="D107" s="546"/>
      <c r="E107" s="546"/>
      <c r="F107" s="546"/>
      <c r="N107" s="546"/>
      <c r="O107" s="546"/>
      <c r="P107" s="589"/>
      <c r="Q107" s="589"/>
      <c r="R107" s="589"/>
      <c r="S107" s="589"/>
      <c r="T107" s="589"/>
      <c r="U107" s="589"/>
      <c r="V107" s="589"/>
      <c r="W107" s="589"/>
      <c r="X107" s="546"/>
      <c r="Y107" s="275"/>
    </row>
    <row r="108" spans="2:26" s="625" customFormat="1" ht="22.5" customHeight="1">
      <c r="B108" s="634" t="s">
        <v>324</v>
      </c>
      <c r="C108" s="634"/>
      <c r="D108" s="635"/>
      <c r="E108" s="546"/>
      <c r="F108" s="546"/>
      <c r="G108" s="546"/>
      <c r="O108" s="546"/>
      <c r="P108" s="589"/>
      <c r="Q108" s="589"/>
      <c r="R108" s="589"/>
      <c r="S108" s="589"/>
      <c r="T108" s="589"/>
      <c r="U108" s="589"/>
      <c r="V108" s="589"/>
      <c r="W108" s="589"/>
      <c r="X108" s="660"/>
      <c r="Y108" s="546"/>
      <c r="Z108" s="275"/>
    </row>
    <row r="109" spans="2:25" s="625" customFormat="1" ht="22.5" customHeight="1">
      <c r="B109" s="1559" t="s">
        <v>326</v>
      </c>
      <c r="C109" s="1560"/>
      <c r="D109" s="1560"/>
      <c r="E109" s="1560"/>
      <c r="F109" s="1560"/>
      <c r="G109" s="1560"/>
      <c r="H109" s="1560"/>
      <c r="I109" s="1560"/>
      <c r="J109" s="1560"/>
      <c r="K109" s="1560"/>
      <c r="L109" s="1560"/>
      <c r="M109" s="1560"/>
      <c r="N109" s="546"/>
      <c r="O109" s="546"/>
      <c r="P109" s="589"/>
      <c r="Q109" s="589"/>
      <c r="R109" s="589"/>
      <c r="S109" s="589"/>
      <c r="T109" s="589"/>
      <c r="U109" s="589"/>
      <c r="V109" s="589"/>
      <c r="W109" s="589"/>
      <c r="X109" s="546"/>
      <c r="Y109" s="275"/>
    </row>
    <row r="110" spans="2:25" s="625" customFormat="1" ht="22.5" customHeight="1">
      <c r="B110" s="1575"/>
      <c r="C110" s="1576"/>
      <c r="D110" s="1576"/>
      <c r="E110" s="1576"/>
      <c r="F110" s="1576"/>
      <c r="G110" s="1576"/>
      <c r="H110" s="1576"/>
      <c r="I110" s="1576"/>
      <c r="J110" s="1576"/>
      <c r="K110" s="1576"/>
      <c r="L110" s="1576"/>
      <c r="M110" s="1577"/>
      <c r="N110" s="661"/>
      <c r="O110" s="1561" t="s">
        <v>325</v>
      </c>
      <c r="P110" s="1561"/>
      <c r="Q110" s="1561"/>
      <c r="R110" s="1561"/>
      <c r="S110" s="1561"/>
      <c r="T110" s="1561"/>
      <c r="U110" s="1561"/>
      <c r="V110" s="661"/>
      <c r="W110" s="636"/>
      <c r="X110" s="546"/>
      <c r="Y110" s="275"/>
    </row>
    <row r="111" spans="2:25" s="625" customFormat="1" ht="8.25" customHeight="1">
      <c r="B111" s="637"/>
      <c r="C111" s="635"/>
      <c r="D111" s="546"/>
      <c r="E111" s="546"/>
      <c r="F111" s="546"/>
      <c r="N111" s="546"/>
      <c r="O111" s="546"/>
      <c r="P111" s="589"/>
      <c r="Q111" s="589"/>
      <c r="R111" s="589"/>
      <c r="S111" s="589"/>
      <c r="T111" s="589"/>
      <c r="U111" s="589"/>
      <c r="V111" s="589"/>
      <c r="W111" s="589"/>
      <c r="X111" s="546"/>
      <c r="Y111" s="275"/>
    </row>
    <row r="112" spans="2:25" s="625" customFormat="1" ht="19.5" customHeight="1">
      <c r="B112" s="1559" t="s">
        <v>328</v>
      </c>
      <c r="C112" s="1560"/>
      <c r="D112" s="1560"/>
      <c r="E112" s="1560"/>
      <c r="F112" s="1560"/>
      <c r="G112" s="1560"/>
      <c r="H112" s="1560"/>
      <c r="I112" s="1560"/>
      <c r="J112" s="1560"/>
      <c r="K112" s="1560"/>
      <c r="L112" s="1560"/>
      <c r="M112" s="1560"/>
      <c r="N112" s="661"/>
      <c r="O112" s="1561" t="s">
        <v>327</v>
      </c>
      <c r="P112" s="1561"/>
      <c r="Q112" s="1561"/>
      <c r="R112" s="1561"/>
      <c r="S112" s="1561"/>
      <c r="T112" s="1561"/>
      <c r="U112" s="1561"/>
      <c r="V112" s="661"/>
      <c r="W112" s="636"/>
      <c r="X112" s="546"/>
      <c r="Y112" s="275"/>
    </row>
    <row r="113" spans="2:25" s="625" customFormat="1" ht="15">
      <c r="B113" s="1562"/>
      <c r="C113" s="1565"/>
      <c r="D113" s="1565"/>
      <c r="E113" s="1565"/>
      <c r="F113" s="1565"/>
      <c r="G113" s="1565"/>
      <c r="H113" s="1565"/>
      <c r="I113" s="1565"/>
      <c r="J113" s="1565"/>
      <c r="K113" s="1565"/>
      <c r="L113" s="1565"/>
      <c r="M113" s="1566"/>
      <c r="N113" s="546"/>
      <c r="O113" s="546"/>
      <c r="P113" s="589"/>
      <c r="Q113" s="589"/>
      <c r="R113" s="589"/>
      <c r="S113" s="589"/>
      <c r="T113" s="589"/>
      <c r="U113" s="589"/>
      <c r="V113" s="589"/>
      <c r="W113" s="589"/>
      <c r="X113" s="546"/>
      <c r="Y113" s="275"/>
    </row>
    <row r="114" spans="2:25" s="625" customFormat="1" ht="22.5" customHeight="1">
      <c r="B114" s="1559" t="s">
        <v>330</v>
      </c>
      <c r="C114" s="1560"/>
      <c r="D114" s="1560"/>
      <c r="E114" s="1560"/>
      <c r="F114" s="1560"/>
      <c r="G114" s="1560"/>
      <c r="H114" s="1560"/>
      <c r="I114" s="1560"/>
      <c r="J114" s="1560"/>
      <c r="K114" s="1560"/>
      <c r="L114" s="1560"/>
      <c r="M114" s="1560"/>
      <c r="N114" s="546"/>
      <c r="O114" s="1561" t="s">
        <v>329</v>
      </c>
      <c r="P114" s="1561"/>
      <c r="Q114" s="1561"/>
      <c r="R114" s="1561"/>
      <c r="S114" s="1561"/>
      <c r="T114" s="1561"/>
      <c r="U114" s="1561"/>
      <c r="V114" s="661"/>
      <c r="W114" s="636"/>
      <c r="X114" s="546"/>
      <c r="Y114" s="275"/>
    </row>
    <row r="115" spans="2:25" s="625" customFormat="1" ht="15">
      <c r="B115" s="1562"/>
      <c r="C115" s="1563"/>
      <c r="D115" s="1563"/>
      <c r="E115" s="1563"/>
      <c r="F115" s="1563"/>
      <c r="G115" s="1563"/>
      <c r="H115" s="1563"/>
      <c r="I115" s="1563"/>
      <c r="J115" s="1563"/>
      <c r="K115" s="1563"/>
      <c r="L115" s="1563"/>
      <c r="M115" s="1564"/>
      <c r="N115" s="546"/>
      <c r="O115" s="546"/>
      <c r="P115" s="589"/>
      <c r="Q115" s="589"/>
      <c r="R115" s="589"/>
      <c r="S115" s="589"/>
      <c r="T115" s="589"/>
      <c r="U115" s="589"/>
      <c r="V115" s="589"/>
      <c r="W115" s="589"/>
      <c r="X115" s="546"/>
      <c r="Y115" s="275"/>
    </row>
    <row r="116" spans="1:24" s="625" customFormat="1" ht="15">
      <c r="A116" s="637"/>
      <c r="B116" s="635"/>
      <c r="C116" s="546"/>
      <c r="D116" s="546"/>
      <c r="E116" s="546"/>
      <c r="M116" s="546"/>
      <c r="N116" s="546"/>
      <c r="O116" s="546"/>
      <c r="P116" s="589"/>
      <c r="Q116" s="589"/>
      <c r="R116" s="589"/>
      <c r="S116" s="589"/>
      <c r="T116" s="589"/>
      <c r="U116" s="589"/>
      <c r="V116" s="589"/>
      <c r="W116" s="589"/>
      <c r="X116" s="275"/>
    </row>
    <row r="117" spans="1:24" s="625" customFormat="1" ht="15">
      <c r="A117" s="637"/>
      <c r="B117" s="635"/>
      <c r="C117" s="546"/>
      <c r="D117" s="546"/>
      <c r="E117" s="546"/>
      <c r="M117" s="546"/>
      <c r="N117" s="546"/>
      <c r="O117" s="546"/>
      <c r="P117" s="589"/>
      <c r="Q117" s="589"/>
      <c r="R117" s="589"/>
      <c r="S117" s="589"/>
      <c r="T117" s="589"/>
      <c r="U117" s="589"/>
      <c r="V117" s="589"/>
      <c r="W117" s="589"/>
      <c r="X117" s="275"/>
    </row>
    <row r="118" spans="1:23" ht="15">
      <c r="A118" s="630"/>
      <c r="B118" s="631"/>
      <c r="C118" s="630"/>
      <c r="D118" s="630"/>
      <c r="E118" s="364"/>
      <c r="M118" s="631"/>
      <c r="N118" s="364"/>
      <c r="O118" s="589"/>
      <c r="P118" s="589"/>
      <c r="Q118" s="589"/>
      <c r="R118" s="589"/>
      <c r="S118" s="589"/>
      <c r="T118" s="589"/>
      <c r="U118" s="589"/>
      <c r="V118" s="589"/>
      <c r="W118" s="546"/>
    </row>
    <row r="119" spans="1:23" ht="15">
      <c r="A119" s="630"/>
      <c r="B119" s="631"/>
      <c r="C119" s="630"/>
      <c r="D119" s="630"/>
      <c r="E119" s="364"/>
      <c r="M119" s="631"/>
      <c r="N119" s="364"/>
      <c r="O119" s="589"/>
      <c r="P119" s="589"/>
      <c r="Q119" s="589"/>
      <c r="R119" s="589"/>
      <c r="S119" s="589"/>
      <c r="T119" s="589"/>
      <c r="U119" s="589"/>
      <c r="V119" s="589"/>
      <c r="W119" s="546"/>
    </row>
    <row r="120" spans="1:23" ht="15.75">
      <c r="A120" s="630"/>
      <c r="B120" s="630"/>
      <c r="C120" s="638"/>
      <c r="D120" s="630"/>
      <c r="E120" s="364"/>
      <c r="M120" s="364"/>
      <c r="N120" s="639"/>
      <c r="O120" s="361"/>
      <c r="P120" s="361"/>
      <c r="Q120" s="361"/>
      <c r="R120" s="361"/>
      <c r="S120" s="361"/>
      <c r="T120" s="361"/>
      <c r="U120" s="361"/>
      <c r="V120" s="361"/>
      <c r="W120" s="361"/>
    </row>
    <row r="121" spans="15:23" ht="15">
      <c r="O121" s="361"/>
      <c r="P121" s="361"/>
      <c r="Q121" s="361"/>
      <c r="R121" s="361"/>
      <c r="S121" s="361"/>
      <c r="T121" s="361"/>
      <c r="U121" s="361"/>
      <c r="V121" s="361"/>
      <c r="W121" s="361"/>
    </row>
    <row r="122" spans="15:23" ht="15">
      <c r="O122" s="361"/>
      <c r="P122" s="361"/>
      <c r="Q122" s="361"/>
      <c r="R122" s="225">
        <f>IF(J120="E L L E N Ő R Z Ö T T",0,1)</f>
        <v>1</v>
      </c>
      <c r="S122" s="361"/>
      <c r="T122" s="361"/>
      <c r="U122" s="361"/>
      <c r="V122" s="361"/>
      <c r="W122" s="361"/>
    </row>
  </sheetData>
  <sheetProtection password="CE2A" sheet="1" objects="1" scenarios="1"/>
  <mergeCells count="87">
    <mergeCell ref="G26:W26"/>
    <mergeCell ref="G27:W27"/>
    <mergeCell ref="B13:W13"/>
    <mergeCell ref="B9:W9"/>
    <mergeCell ref="B10:W10"/>
    <mergeCell ref="B11:W11"/>
    <mergeCell ref="C12:J12"/>
    <mergeCell ref="K12:R12"/>
    <mergeCell ref="B14:W14"/>
    <mergeCell ref="T23:W23"/>
    <mergeCell ref="B24:N24"/>
    <mergeCell ref="U24:W24"/>
    <mergeCell ref="G47:W47"/>
    <mergeCell ref="G48:W48"/>
    <mergeCell ref="G28:W28"/>
    <mergeCell ref="G29:W29"/>
    <mergeCell ref="G30:W30"/>
    <mergeCell ref="G31:W31"/>
    <mergeCell ref="G34:W34"/>
    <mergeCell ref="B36:N36"/>
    <mergeCell ref="G32:W32"/>
    <mergeCell ref="G33:W33"/>
    <mergeCell ref="B38:C38"/>
    <mergeCell ref="F38:K38"/>
    <mergeCell ref="N38:O38"/>
    <mergeCell ref="P38:Q38"/>
    <mergeCell ref="C78:W78"/>
    <mergeCell ref="C76:J76"/>
    <mergeCell ref="K76:W76"/>
    <mergeCell ref="C70:H70"/>
    <mergeCell ref="I70:W70"/>
    <mergeCell ref="C75:I75"/>
    <mergeCell ref="C71:I71"/>
    <mergeCell ref="K71:S71"/>
    <mergeCell ref="K75:W75"/>
    <mergeCell ref="C72:I72"/>
    <mergeCell ref="C40:AF40"/>
    <mergeCell ref="G42:W42"/>
    <mergeCell ref="G43:W43"/>
    <mergeCell ref="G44:W44"/>
    <mergeCell ref="G49:W49"/>
    <mergeCell ref="G50:W50"/>
    <mergeCell ref="G45:W45"/>
    <mergeCell ref="G46:W46"/>
    <mergeCell ref="K72:W72"/>
    <mergeCell ref="C73:I73"/>
    <mergeCell ref="G53:K53"/>
    <mergeCell ref="M53:T53"/>
    <mergeCell ref="C65:J65"/>
    <mergeCell ref="C69:H69"/>
    <mergeCell ref="I69:W69"/>
    <mergeCell ref="K65:W65"/>
    <mergeCell ref="G51:W51"/>
    <mergeCell ref="G52:W52"/>
    <mergeCell ref="C83:N83"/>
    <mergeCell ref="P83:W83"/>
    <mergeCell ref="K73:W73"/>
    <mergeCell ref="C74:N74"/>
    <mergeCell ref="P74:W74"/>
    <mergeCell ref="C67:G67"/>
    <mergeCell ref="H67:P67"/>
    <mergeCell ref="S67:V67"/>
    <mergeCell ref="H84:O84"/>
    <mergeCell ref="S84:W84"/>
    <mergeCell ref="C79:H79"/>
    <mergeCell ref="I79:W79"/>
    <mergeCell ref="C81:J81"/>
    <mergeCell ref="K81:W81"/>
    <mergeCell ref="B95:R95"/>
    <mergeCell ref="B112:M112"/>
    <mergeCell ref="C85:N85"/>
    <mergeCell ref="C86:N86"/>
    <mergeCell ref="C87:N87"/>
    <mergeCell ref="C88:I88"/>
    <mergeCell ref="C89:I89"/>
    <mergeCell ref="O112:U112"/>
    <mergeCell ref="T95:U95"/>
    <mergeCell ref="B110:M110"/>
    <mergeCell ref="C103:O103"/>
    <mergeCell ref="O105:W105"/>
    <mergeCell ref="O106:W106"/>
    <mergeCell ref="B109:M109"/>
    <mergeCell ref="B114:M114"/>
    <mergeCell ref="O114:U114"/>
    <mergeCell ref="B115:M115"/>
    <mergeCell ref="O110:U110"/>
    <mergeCell ref="B113:M113"/>
  </mergeCells>
  <printOptions/>
  <pageMargins left="0.54" right="0.75" top="0.71" bottom="1" header="0.27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89"/>
  <sheetViews>
    <sheetView zoomScalePageLayoutView="0" workbookViewId="0" topLeftCell="A1">
      <selection activeCell="L255" sqref="L255"/>
    </sheetView>
  </sheetViews>
  <sheetFormatPr defaultColWidth="9.140625" defaultRowHeight="12.75"/>
  <cols>
    <col min="1" max="1" width="7.8515625" style="766" customWidth="1"/>
    <col min="2" max="2" width="4.140625" style="766" hidden="1" customWidth="1"/>
    <col min="3" max="3" width="25.7109375" style="766" hidden="1" customWidth="1"/>
    <col min="4" max="4" width="5.57421875" style="766" customWidth="1"/>
    <col min="5" max="5" width="9.140625" style="766" hidden="1" customWidth="1"/>
    <col min="6" max="6" width="27.00390625" style="766" customWidth="1"/>
    <col min="7" max="7" width="0" style="766" hidden="1" customWidth="1"/>
    <col min="8" max="9" width="13.7109375" style="766" hidden="1" customWidth="1"/>
    <col min="10" max="10" width="13.7109375" style="766" customWidth="1"/>
    <col min="11" max="11" width="9.140625" style="25" hidden="1" customWidth="1"/>
    <col min="12" max="12" width="11.00390625" style="25" customWidth="1"/>
    <col min="13" max="18" width="0" style="25" hidden="1" customWidth="1"/>
    <col min="19" max="33" width="0" style="766" hidden="1" customWidth="1"/>
    <col min="34" max="16384" width="9.140625" style="766" customWidth="1"/>
  </cols>
  <sheetData>
    <row r="1" spans="1:10" ht="12.75" customHeight="1">
      <c r="A1" s="1645" t="s">
        <v>721</v>
      </c>
      <c r="B1" s="1645"/>
      <c r="C1" s="1645"/>
      <c r="D1" s="1645"/>
      <c r="E1" s="1645"/>
      <c r="F1" s="1645"/>
      <c r="G1" s="26"/>
      <c r="H1" s="27"/>
      <c r="I1" s="1646"/>
      <c r="J1" s="1646"/>
    </row>
    <row r="2" spans="1:10" ht="12.75" customHeight="1">
      <c r="A2" s="1645"/>
      <c r="B2" s="1645"/>
      <c r="C2" s="1645"/>
      <c r="D2" s="1645"/>
      <c r="E2" s="1645"/>
      <c r="F2" s="1645"/>
      <c r="G2" s="26"/>
      <c r="H2" s="26"/>
      <c r="I2" s="26"/>
      <c r="J2" s="26"/>
    </row>
    <row r="3" spans="1:11" ht="12.75">
      <c r="A3" s="25"/>
      <c r="B3" s="1626"/>
      <c r="C3" s="1626"/>
      <c r="D3" s="28">
        <v>2005</v>
      </c>
      <c r="E3" s="29">
        <v>2012</v>
      </c>
      <c r="F3" s="1647"/>
      <c r="G3" s="1647"/>
      <c r="H3" s="1647"/>
      <c r="I3" s="1647"/>
      <c r="J3" s="1647"/>
      <c r="K3" s="30"/>
    </row>
    <row r="4" spans="1:11" ht="12.75" hidden="1">
      <c r="A4" s="1619"/>
      <c r="B4" s="1619"/>
      <c r="C4" s="1619"/>
      <c r="D4" s="1619"/>
      <c r="E4" s="1619"/>
      <c r="F4" s="1619"/>
      <c r="G4" s="1619"/>
      <c r="H4" s="1619"/>
      <c r="I4" s="1619"/>
      <c r="J4" s="1619"/>
      <c r="K4" s="32"/>
    </row>
    <row r="5" spans="1:11" ht="12.75" hidden="1">
      <c r="A5" s="1619"/>
      <c r="B5" s="1619"/>
      <c r="C5" s="1619"/>
      <c r="D5" s="1619"/>
      <c r="E5" s="1619"/>
      <c r="F5" s="1619"/>
      <c r="G5" s="1619"/>
      <c r="H5" s="1619"/>
      <c r="I5" s="1619"/>
      <c r="J5" s="1619"/>
      <c r="K5" s="32"/>
    </row>
    <row r="6" spans="1:11" ht="15.75" customHeight="1" hidden="1">
      <c r="A6" s="25"/>
      <c r="B6" s="1626" t="s">
        <v>722</v>
      </c>
      <c r="C6" s="1626"/>
      <c r="D6" s="1635">
        <v>1</v>
      </c>
      <c r="E6" s="1635"/>
      <c r="F6" s="1635"/>
      <c r="G6" s="1635"/>
      <c r="H6" s="1635"/>
      <c r="I6" s="1635"/>
      <c r="J6" s="1635"/>
      <c r="K6" s="33"/>
    </row>
    <row r="7" spans="1:11" ht="15.75" customHeight="1" hidden="1">
      <c r="A7" s="25"/>
      <c r="B7" s="1626" t="s">
        <v>723</v>
      </c>
      <c r="C7" s="1626"/>
      <c r="D7" s="1635">
        <v>1</v>
      </c>
      <c r="E7" s="1635"/>
      <c r="F7" s="1635"/>
      <c r="G7" s="1635"/>
      <c r="H7" s="1635"/>
      <c r="I7" s="1635"/>
      <c r="J7" s="1635"/>
      <c r="K7" s="33"/>
    </row>
    <row r="8" spans="1:11" ht="15.75" customHeight="1" hidden="1">
      <c r="A8" s="25"/>
      <c r="B8" s="1626"/>
      <c r="C8" s="1626"/>
      <c r="D8" s="34"/>
      <c r="E8" s="34"/>
      <c r="F8" s="34"/>
      <c r="G8" s="34"/>
      <c r="H8" s="34"/>
      <c r="I8" s="34"/>
      <c r="J8" s="34"/>
      <c r="K8" s="33"/>
    </row>
    <row r="9" spans="1:11" ht="15.75" customHeight="1" hidden="1">
      <c r="A9" s="25"/>
      <c r="B9" s="1626" t="s">
        <v>724</v>
      </c>
      <c r="C9" s="1626"/>
      <c r="D9" s="1628">
        <v>1</v>
      </c>
      <c r="E9" s="1628"/>
      <c r="F9" s="1628"/>
      <c r="G9" s="1628"/>
      <c r="H9" s="1628"/>
      <c r="I9" s="1628"/>
      <c r="J9" s="1628"/>
      <c r="K9" s="33"/>
    </row>
    <row r="10" spans="1:11" ht="15.75" customHeight="1" hidden="1">
      <c r="A10" s="25"/>
      <c r="B10" s="1626" t="s">
        <v>725</v>
      </c>
      <c r="C10" s="1626"/>
      <c r="D10" s="775">
        <v>1</v>
      </c>
      <c r="E10" s="775"/>
      <c r="F10" s="775" t="s">
        <v>502</v>
      </c>
      <c r="G10" s="775"/>
      <c r="H10" s="1634">
        <v>1</v>
      </c>
      <c r="I10" s="1634"/>
      <c r="J10" s="1634"/>
      <c r="K10" s="35" t="str">
        <f>CONCATENATE(D10,E10,F10,G10,H10)</f>
        <v>1Alsónémedi1</v>
      </c>
    </row>
    <row r="11" spans="1:13" ht="15.75" customHeight="1" hidden="1">
      <c r="A11" s="25"/>
      <c r="B11" s="1626" t="s">
        <v>727</v>
      </c>
      <c r="C11" s="1626"/>
      <c r="D11" s="775">
        <v>1</v>
      </c>
      <c r="E11" s="775"/>
      <c r="F11" s="775">
        <v>1</v>
      </c>
      <c r="G11" s="775"/>
      <c r="H11" s="1634">
        <v>1</v>
      </c>
      <c r="I11" s="1634"/>
      <c r="J11" s="1634"/>
      <c r="K11" s="35" t="str">
        <f>CONCATENATE(D11,E11,F11,G11,H11)</f>
        <v>111</v>
      </c>
      <c r="M11" s="36" t="s">
        <v>728</v>
      </c>
    </row>
    <row r="12" spans="1:18" ht="15.75" customHeight="1" hidden="1">
      <c r="A12" s="25"/>
      <c r="B12" s="1626" t="s">
        <v>729</v>
      </c>
      <c r="C12" s="1626"/>
      <c r="D12" s="1635">
        <v>1</v>
      </c>
      <c r="E12" s="1635"/>
      <c r="F12" s="1635"/>
      <c r="G12" s="1635"/>
      <c r="H12" s="1635"/>
      <c r="I12" s="1635"/>
      <c r="J12" s="1635"/>
      <c r="K12" s="35"/>
      <c r="M12" s="1638" t="s">
        <v>730</v>
      </c>
      <c r="N12" s="1638"/>
      <c r="O12" s="1638"/>
      <c r="P12" s="1638"/>
      <c r="Q12" s="1638"/>
      <c r="R12" s="1638"/>
    </row>
    <row r="13" spans="1:11" ht="12.75" customHeight="1" hidden="1">
      <c r="A13" s="25"/>
      <c r="B13" s="1626" t="s">
        <v>731</v>
      </c>
      <c r="C13" s="1626"/>
      <c r="D13" s="1639"/>
      <c r="E13" s="1639"/>
      <c r="F13" s="1639"/>
      <c r="G13" s="1639"/>
      <c r="H13" s="1639"/>
      <c r="I13" s="1639"/>
      <c r="J13" s="1639"/>
      <c r="K13" s="35"/>
    </row>
    <row r="14" spans="1:11" ht="15.75" customHeight="1" hidden="1">
      <c r="A14" s="25"/>
      <c r="B14" s="1626" t="s">
        <v>732</v>
      </c>
      <c r="C14" s="1626"/>
      <c r="D14" s="1635">
        <v>1</v>
      </c>
      <c r="E14" s="1635"/>
      <c r="F14" s="1635"/>
      <c r="G14" s="1635"/>
      <c r="H14" s="1635"/>
      <c r="I14" s="1635"/>
      <c r="J14" s="1635"/>
      <c r="K14" s="35"/>
    </row>
    <row r="15" spans="1:11" ht="15.75" customHeight="1" hidden="1">
      <c r="A15" s="25"/>
      <c r="B15" s="1626" t="s">
        <v>733</v>
      </c>
      <c r="C15" s="1626"/>
      <c r="D15" s="1640">
        <v>2</v>
      </c>
      <c r="E15" s="1641"/>
      <c r="F15" s="1641"/>
      <c r="G15" s="1641"/>
      <c r="H15" s="1642"/>
      <c r="I15" s="1640">
        <v>22</v>
      </c>
      <c r="J15" s="1643"/>
      <c r="K15" s="35"/>
    </row>
    <row r="16" spans="1:11" ht="15.75" customHeight="1" hidden="1" thickBot="1">
      <c r="A16" s="37"/>
      <c r="B16" s="1626" t="s">
        <v>734</v>
      </c>
      <c r="C16" s="1626"/>
      <c r="D16" s="776"/>
      <c r="E16" s="777"/>
      <c r="F16" s="778">
        <v>1</v>
      </c>
      <c r="G16" s="778"/>
      <c r="H16" s="1644">
        <v>1</v>
      </c>
      <c r="I16" s="1644"/>
      <c r="J16" s="1644"/>
      <c r="K16" s="35"/>
    </row>
    <row r="17" spans="1:11" ht="15.75" customHeight="1" hidden="1" thickBot="1">
      <c r="A17" s="1631" t="s">
        <v>735</v>
      </c>
      <c r="B17" s="763" t="s">
        <v>736</v>
      </c>
      <c r="C17" s="763"/>
      <c r="D17" s="1632"/>
      <c r="E17" s="1633"/>
      <c r="F17" s="1633"/>
      <c r="G17" s="1633"/>
      <c r="H17" s="1633"/>
      <c r="I17" s="1624"/>
      <c r="J17" s="1625"/>
      <c r="K17" s="35"/>
    </row>
    <row r="18" spans="1:11" ht="15.75" customHeight="1" hidden="1" thickBot="1">
      <c r="A18" s="1631"/>
      <c r="B18" s="764" t="s">
        <v>737</v>
      </c>
      <c r="C18" s="764"/>
      <c r="D18" s="1627"/>
      <c r="E18" s="1628"/>
      <c r="F18" s="1628"/>
      <c r="G18" s="1628"/>
      <c r="H18" s="1628"/>
      <c r="I18" s="1628"/>
      <c r="J18" s="1629"/>
      <c r="K18" s="35"/>
    </row>
    <row r="19" spans="1:11" ht="15.75" customHeight="1" hidden="1" thickBot="1">
      <c r="A19" s="1631"/>
      <c r="B19" s="764" t="s">
        <v>738</v>
      </c>
      <c r="C19" s="764"/>
      <c r="D19" s="1627"/>
      <c r="E19" s="1628"/>
      <c r="F19" s="1628"/>
      <c r="G19" s="1628"/>
      <c r="H19" s="1628"/>
      <c r="I19" s="1628"/>
      <c r="J19" s="1629"/>
      <c r="K19" s="35"/>
    </row>
    <row r="20" spans="1:11" ht="15.75" customHeight="1" hidden="1" thickBot="1">
      <c r="A20" s="1631"/>
      <c r="B20" s="764" t="s">
        <v>739</v>
      </c>
      <c r="C20" s="764"/>
      <c r="D20" s="1627"/>
      <c r="E20" s="1628"/>
      <c r="F20" s="1628"/>
      <c r="G20" s="1628"/>
      <c r="H20" s="1628"/>
      <c r="I20" s="1628"/>
      <c r="J20" s="1629"/>
      <c r="K20" s="35"/>
    </row>
    <row r="21" spans="1:11" ht="15.75" customHeight="1" hidden="1" thickBot="1">
      <c r="A21" s="1631"/>
      <c r="B21" s="1630" t="s">
        <v>740</v>
      </c>
      <c r="C21" s="1630"/>
      <c r="D21" s="779"/>
      <c r="E21" s="780"/>
      <c r="F21" s="781"/>
      <c r="G21" s="780"/>
      <c r="H21" s="782"/>
      <c r="I21" s="782"/>
      <c r="J21" s="783"/>
      <c r="K21" s="35"/>
    </row>
    <row r="22" spans="1:11" ht="12.75" hidden="1">
      <c r="A22" s="1619"/>
      <c r="B22" s="1619"/>
      <c r="C22" s="1619"/>
      <c r="D22" s="1619"/>
      <c r="E22" s="1619"/>
      <c r="F22" s="1619"/>
      <c r="G22" s="1619"/>
      <c r="H22" s="1619"/>
      <c r="I22" s="1619"/>
      <c r="J22" s="1619"/>
      <c r="K22" s="35"/>
    </row>
    <row r="23" spans="1:11" ht="15.75" customHeight="1" hidden="1">
      <c r="A23" s="1619"/>
      <c r="B23" s="1619"/>
      <c r="C23" s="1619"/>
      <c r="D23" s="1619"/>
      <c r="E23" s="1619"/>
      <c r="F23" s="1619"/>
      <c r="G23" s="1619"/>
      <c r="H23" s="1619"/>
      <c r="I23" s="1619"/>
      <c r="J23" s="1619"/>
      <c r="K23" s="35"/>
    </row>
    <row r="24" spans="1:13" ht="15.75" customHeight="1" hidden="1">
      <c r="A24" s="25"/>
      <c r="B24" s="38"/>
      <c r="C24" s="1626" t="s">
        <v>741</v>
      </c>
      <c r="D24" s="1626"/>
      <c r="E24" s="1626"/>
      <c r="F24" s="1626"/>
      <c r="G24" s="1626"/>
      <c r="H24" s="1626"/>
      <c r="I24" s="1626"/>
      <c r="J24" s="1626"/>
      <c r="K24" s="35"/>
      <c r="M24" s="25" t="s">
        <v>742</v>
      </c>
    </row>
    <row r="25" spans="1:12" ht="15.75" customHeight="1">
      <c r="A25" s="1636" t="s">
        <v>743</v>
      </c>
      <c r="B25" s="1636"/>
      <c r="C25" s="1636"/>
      <c r="D25" s="1636"/>
      <c r="E25" s="1636"/>
      <c r="F25" s="1636"/>
      <c r="G25" s="1636"/>
      <c r="H25" s="1636"/>
      <c r="I25" s="1636"/>
      <c r="J25" s="1636"/>
      <c r="K25" s="35"/>
      <c r="L25" s="745" t="s">
        <v>155</v>
      </c>
    </row>
    <row r="26" spans="1:26" ht="12.75">
      <c r="A26" s="689">
        <v>26</v>
      </c>
      <c r="B26" s="784">
        <v>1</v>
      </c>
      <c r="C26" s="40" t="s">
        <v>744</v>
      </c>
      <c r="D26" s="41">
        <f>D10</f>
        <v>1</v>
      </c>
      <c r="E26" s="41" t="s">
        <v>726</v>
      </c>
      <c r="F26" s="806" t="s">
        <v>130</v>
      </c>
      <c r="G26" s="41" t="s">
        <v>726</v>
      </c>
      <c r="H26" s="1637">
        <f>H10</f>
        <v>1</v>
      </c>
      <c r="I26" s="1637"/>
      <c r="J26" s="762">
        <v>0.017</v>
      </c>
      <c r="K26" s="767" t="str">
        <f>CONCATENATE(D26," ",E26," ",F26," ",G26," ",H26)</f>
        <v>1   Szabadszállás   1</v>
      </c>
      <c r="L26" s="762">
        <v>0.017</v>
      </c>
      <c r="M26" s="765">
        <v>2011</v>
      </c>
      <c r="N26" s="765">
        <v>1</v>
      </c>
      <c r="O26" s="765">
        <v>1</v>
      </c>
      <c r="P26" s="765">
        <v>2011</v>
      </c>
      <c r="Q26" s="765">
        <v>12</v>
      </c>
      <c r="R26" s="765">
        <v>31</v>
      </c>
      <c r="U26" s="766" t="str">
        <f>CONCATENATE(M26,".",N26,".",O26)</f>
        <v>2011.1.1</v>
      </c>
      <c r="X26" s="766" t="str">
        <f>CONCATENATE(P26,".",Q26,".",R26)</f>
        <v>2011.12.31</v>
      </c>
      <c r="Z26" s="766">
        <f>IF(X26="2011.12.31",X26-U26+1,0)</f>
        <v>365</v>
      </c>
    </row>
    <row r="27" spans="1:26" ht="12.75" hidden="1">
      <c r="A27" s="689">
        <v>27</v>
      </c>
      <c r="B27" s="784"/>
      <c r="C27" s="40" t="s">
        <v>745</v>
      </c>
      <c r="D27" s="785" t="s">
        <v>694</v>
      </c>
      <c r="E27" s="785"/>
      <c r="F27" s="785" t="s">
        <v>695</v>
      </c>
      <c r="G27" s="785"/>
      <c r="H27" s="1618" t="s">
        <v>694</v>
      </c>
      <c r="I27" s="1623"/>
      <c r="J27" s="786">
        <v>0.019</v>
      </c>
      <c r="K27" s="35" t="str">
        <f>CONCATENATE(D27," ",E27," ",F27," ",G27," ",H27)</f>
        <v>1  göd  1</v>
      </c>
      <c r="L27" s="787">
        <f aca="true" t="shared" si="0" ref="L27:L90">J27</f>
        <v>0.019</v>
      </c>
      <c r="M27" s="765">
        <v>2011</v>
      </c>
      <c r="N27" s="765">
        <v>1</v>
      </c>
      <c r="O27" s="765">
        <v>1</v>
      </c>
      <c r="P27" s="765">
        <v>2011</v>
      </c>
      <c r="Q27" s="765">
        <v>12</v>
      </c>
      <c r="R27" s="765">
        <v>31</v>
      </c>
      <c r="U27" s="766" t="str">
        <f aca="true" t="shared" si="1" ref="U27:U90">CONCATENATE(M27,".",N27,".",O27)</f>
        <v>2011.1.1</v>
      </c>
      <c r="X27" s="766" t="str">
        <f aca="true" t="shared" si="2" ref="X27:X90">CONCATENATE(P27,".",Q27,".",R27)</f>
        <v>2011.12.31</v>
      </c>
      <c r="Z27" s="766">
        <f aca="true" t="shared" si="3" ref="Z27:Z90">IF(X27="2011.12.31",X27-U27+1,0)</f>
        <v>365</v>
      </c>
    </row>
    <row r="28" spans="1:26" ht="12.75" hidden="1">
      <c r="A28" s="689">
        <v>28</v>
      </c>
      <c r="B28" s="784"/>
      <c r="C28" s="40" t="s">
        <v>746</v>
      </c>
      <c r="D28" s="785"/>
      <c r="E28" s="785"/>
      <c r="F28" s="785"/>
      <c r="G28" s="785"/>
      <c r="H28" s="1618"/>
      <c r="I28" s="1623"/>
      <c r="J28" s="786">
        <v>0.02</v>
      </c>
      <c r="K28" s="35" t="str">
        <f aca="true" t="shared" si="4" ref="K28:K91">CONCATENATE(D28," ",E28," ",F28," ",G28," ",H28)</f>
        <v>    </v>
      </c>
      <c r="L28" s="787">
        <f t="shared" si="0"/>
        <v>0.02</v>
      </c>
      <c r="M28" s="765">
        <v>2011</v>
      </c>
      <c r="N28" s="765">
        <v>1</v>
      </c>
      <c r="O28" s="765">
        <v>1</v>
      </c>
      <c r="P28" s="765">
        <v>2011</v>
      </c>
      <c r="Q28" s="765">
        <v>12</v>
      </c>
      <c r="R28" s="765">
        <v>31</v>
      </c>
      <c r="U28" s="766" t="str">
        <f t="shared" si="1"/>
        <v>2011.1.1</v>
      </c>
      <c r="X28" s="766" t="str">
        <f t="shared" si="2"/>
        <v>2011.12.31</v>
      </c>
      <c r="Z28" s="766">
        <f t="shared" si="3"/>
        <v>365</v>
      </c>
    </row>
    <row r="29" spans="1:26" ht="12.75" hidden="1">
      <c r="A29" s="689">
        <v>29</v>
      </c>
      <c r="B29" s="784"/>
      <c r="C29" s="40" t="s">
        <v>747</v>
      </c>
      <c r="D29" s="785"/>
      <c r="E29" s="788"/>
      <c r="F29" s="785"/>
      <c r="G29" s="788"/>
      <c r="H29" s="1618"/>
      <c r="I29" s="1623"/>
      <c r="J29" s="786">
        <v>0.02</v>
      </c>
      <c r="K29" s="35" t="str">
        <f t="shared" si="4"/>
        <v>    </v>
      </c>
      <c r="L29" s="787">
        <f t="shared" si="0"/>
        <v>0.02</v>
      </c>
      <c r="M29" s="765">
        <v>2011</v>
      </c>
      <c r="N29" s="765">
        <v>1</v>
      </c>
      <c r="O29" s="765">
        <v>1</v>
      </c>
      <c r="P29" s="765">
        <v>2011</v>
      </c>
      <c r="Q29" s="765">
        <v>12</v>
      </c>
      <c r="R29" s="765">
        <v>31</v>
      </c>
      <c r="U29" s="766" t="str">
        <f t="shared" si="1"/>
        <v>2011.1.1</v>
      </c>
      <c r="X29" s="766" t="str">
        <f t="shared" si="2"/>
        <v>2011.12.31</v>
      </c>
      <c r="Z29" s="766">
        <f t="shared" si="3"/>
        <v>365</v>
      </c>
    </row>
    <row r="30" spans="1:26" ht="12.75" hidden="1">
      <c r="A30" s="689">
        <v>30</v>
      </c>
      <c r="B30" s="784"/>
      <c r="C30" s="40" t="s">
        <v>748</v>
      </c>
      <c r="D30" s="785"/>
      <c r="E30" s="788"/>
      <c r="F30" s="785"/>
      <c r="G30" s="788"/>
      <c r="H30" s="1618"/>
      <c r="I30" s="1623"/>
      <c r="J30" s="786">
        <v>0.02</v>
      </c>
      <c r="K30" s="35" t="str">
        <f t="shared" si="4"/>
        <v>    </v>
      </c>
      <c r="L30" s="787">
        <f t="shared" si="0"/>
        <v>0.02</v>
      </c>
      <c r="M30" s="765">
        <v>2011</v>
      </c>
      <c r="N30" s="765">
        <v>1</v>
      </c>
      <c r="O30" s="765">
        <v>1</v>
      </c>
      <c r="P30" s="765">
        <v>2011</v>
      </c>
      <c r="Q30" s="765">
        <v>12</v>
      </c>
      <c r="R30" s="765">
        <v>31</v>
      </c>
      <c r="U30" s="766" t="str">
        <f t="shared" si="1"/>
        <v>2011.1.1</v>
      </c>
      <c r="X30" s="766" t="str">
        <f t="shared" si="2"/>
        <v>2011.12.31</v>
      </c>
      <c r="Z30" s="766">
        <f t="shared" si="3"/>
        <v>365</v>
      </c>
    </row>
    <row r="31" spans="1:26" ht="12.75" hidden="1">
      <c r="A31" s="689">
        <v>31</v>
      </c>
      <c r="B31" s="784"/>
      <c r="C31" s="40" t="s">
        <v>749</v>
      </c>
      <c r="D31" s="785"/>
      <c r="E31" s="788"/>
      <c r="F31" s="785"/>
      <c r="G31" s="788"/>
      <c r="H31" s="1618"/>
      <c r="I31" s="1623"/>
      <c r="J31" s="786">
        <v>0.02</v>
      </c>
      <c r="K31" s="35" t="str">
        <f t="shared" si="4"/>
        <v>    </v>
      </c>
      <c r="L31" s="787">
        <f t="shared" si="0"/>
        <v>0.02</v>
      </c>
      <c r="M31" s="765">
        <v>2011</v>
      </c>
      <c r="N31" s="765">
        <v>1</v>
      </c>
      <c r="O31" s="765">
        <v>1</v>
      </c>
      <c r="P31" s="765">
        <v>2011</v>
      </c>
      <c r="Q31" s="765">
        <v>12</v>
      </c>
      <c r="R31" s="765">
        <v>31</v>
      </c>
      <c r="U31" s="766" t="str">
        <f t="shared" si="1"/>
        <v>2011.1.1</v>
      </c>
      <c r="X31" s="766" t="str">
        <f t="shared" si="2"/>
        <v>2011.12.31</v>
      </c>
      <c r="Z31" s="766">
        <f t="shared" si="3"/>
        <v>365</v>
      </c>
    </row>
    <row r="32" spans="1:26" ht="12.75" hidden="1">
      <c r="A32" s="689">
        <v>32</v>
      </c>
      <c r="B32" s="784"/>
      <c r="C32" s="40" t="s">
        <v>750</v>
      </c>
      <c r="D32" s="785"/>
      <c r="E32" s="788"/>
      <c r="F32" s="785"/>
      <c r="G32" s="788"/>
      <c r="H32" s="1618"/>
      <c r="I32" s="1623"/>
      <c r="J32" s="786">
        <v>0.02</v>
      </c>
      <c r="K32" s="35" t="str">
        <f t="shared" si="4"/>
        <v>    </v>
      </c>
      <c r="L32" s="787">
        <f t="shared" si="0"/>
        <v>0.02</v>
      </c>
      <c r="M32" s="765">
        <v>2011</v>
      </c>
      <c r="N32" s="765">
        <v>1</v>
      </c>
      <c r="O32" s="765">
        <v>1</v>
      </c>
      <c r="P32" s="765">
        <v>2011</v>
      </c>
      <c r="Q32" s="765">
        <v>12</v>
      </c>
      <c r="R32" s="765">
        <v>31</v>
      </c>
      <c r="U32" s="766" t="str">
        <f t="shared" si="1"/>
        <v>2011.1.1</v>
      </c>
      <c r="X32" s="766" t="str">
        <f t="shared" si="2"/>
        <v>2011.12.31</v>
      </c>
      <c r="Z32" s="766">
        <f t="shared" si="3"/>
        <v>365</v>
      </c>
    </row>
    <row r="33" spans="1:26" ht="12.75" hidden="1">
      <c r="A33" s="689">
        <v>33</v>
      </c>
      <c r="B33" s="784"/>
      <c r="C33" s="40" t="s">
        <v>751</v>
      </c>
      <c r="D33" s="785"/>
      <c r="E33" s="788"/>
      <c r="F33" s="785"/>
      <c r="G33" s="788"/>
      <c r="H33" s="1618"/>
      <c r="I33" s="1623"/>
      <c r="J33" s="786">
        <v>0.02</v>
      </c>
      <c r="K33" s="35" t="str">
        <f t="shared" si="4"/>
        <v>    </v>
      </c>
      <c r="L33" s="787">
        <f t="shared" si="0"/>
        <v>0.02</v>
      </c>
      <c r="M33" s="765">
        <v>2011</v>
      </c>
      <c r="N33" s="765">
        <v>1</v>
      </c>
      <c r="O33" s="765">
        <v>1</v>
      </c>
      <c r="P33" s="765">
        <v>2011</v>
      </c>
      <c r="Q33" s="765">
        <v>12</v>
      </c>
      <c r="R33" s="765">
        <v>31</v>
      </c>
      <c r="U33" s="766" t="str">
        <f t="shared" si="1"/>
        <v>2011.1.1</v>
      </c>
      <c r="X33" s="766" t="str">
        <f t="shared" si="2"/>
        <v>2011.12.31</v>
      </c>
      <c r="Z33" s="766">
        <f t="shared" si="3"/>
        <v>365</v>
      </c>
    </row>
    <row r="34" spans="1:26" ht="12.75" hidden="1">
      <c r="A34" s="689">
        <v>34</v>
      </c>
      <c r="B34" s="784"/>
      <c r="C34" s="40" t="s">
        <v>753</v>
      </c>
      <c r="D34" s="785"/>
      <c r="E34" s="788"/>
      <c r="F34" s="785"/>
      <c r="G34" s="788"/>
      <c r="H34" s="1618"/>
      <c r="I34" s="1623"/>
      <c r="J34" s="786">
        <v>0.02</v>
      </c>
      <c r="K34" s="35" t="str">
        <f t="shared" si="4"/>
        <v>    </v>
      </c>
      <c r="L34" s="787">
        <f t="shared" si="0"/>
        <v>0.02</v>
      </c>
      <c r="M34" s="765">
        <v>2011</v>
      </c>
      <c r="N34" s="765">
        <v>1</v>
      </c>
      <c r="O34" s="765">
        <v>1</v>
      </c>
      <c r="P34" s="765">
        <v>2011</v>
      </c>
      <c r="Q34" s="765">
        <v>12</v>
      </c>
      <c r="R34" s="765">
        <v>31</v>
      </c>
      <c r="U34" s="766" t="str">
        <f t="shared" si="1"/>
        <v>2011.1.1</v>
      </c>
      <c r="X34" s="766" t="str">
        <f t="shared" si="2"/>
        <v>2011.12.31</v>
      </c>
      <c r="Z34" s="766">
        <f t="shared" si="3"/>
        <v>365</v>
      </c>
    </row>
    <row r="35" spans="1:26" ht="12.75" hidden="1">
      <c r="A35" s="689">
        <v>35</v>
      </c>
      <c r="B35" s="784"/>
      <c r="C35" s="40" t="s">
        <v>754</v>
      </c>
      <c r="D35" s="785"/>
      <c r="E35" s="788"/>
      <c r="F35" s="785"/>
      <c r="G35" s="788"/>
      <c r="H35" s="1618"/>
      <c r="I35" s="1623"/>
      <c r="J35" s="786">
        <v>0.02</v>
      </c>
      <c r="K35" s="35" t="str">
        <f t="shared" si="4"/>
        <v>    </v>
      </c>
      <c r="L35" s="787">
        <f t="shared" si="0"/>
        <v>0.02</v>
      </c>
      <c r="M35" s="765">
        <v>2011</v>
      </c>
      <c r="N35" s="765">
        <v>1</v>
      </c>
      <c r="O35" s="765">
        <v>1</v>
      </c>
      <c r="P35" s="765">
        <v>2011</v>
      </c>
      <c r="Q35" s="765">
        <v>12</v>
      </c>
      <c r="R35" s="765">
        <v>31</v>
      </c>
      <c r="U35" s="766" t="str">
        <f t="shared" si="1"/>
        <v>2011.1.1</v>
      </c>
      <c r="X35" s="766" t="str">
        <f t="shared" si="2"/>
        <v>2011.12.31</v>
      </c>
      <c r="Z35" s="766">
        <f t="shared" si="3"/>
        <v>365</v>
      </c>
    </row>
    <row r="36" spans="1:26" ht="12.75" hidden="1">
      <c r="A36" s="689">
        <v>36</v>
      </c>
      <c r="B36" s="784"/>
      <c r="C36" s="40" t="s">
        <v>755</v>
      </c>
      <c r="D36" s="785"/>
      <c r="E36" s="788"/>
      <c r="F36" s="785"/>
      <c r="G36" s="788"/>
      <c r="H36" s="1618"/>
      <c r="I36" s="1623"/>
      <c r="J36" s="786">
        <v>0.02</v>
      </c>
      <c r="K36" s="35" t="str">
        <f t="shared" si="4"/>
        <v>    </v>
      </c>
      <c r="L36" s="787">
        <f t="shared" si="0"/>
        <v>0.02</v>
      </c>
      <c r="M36" s="765">
        <v>2011</v>
      </c>
      <c r="N36" s="765">
        <v>1</v>
      </c>
      <c r="O36" s="765">
        <v>1</v>
      </c>
      <c r="P36" s="765">
        <v>2011</v>
      </c>
      <c r="Q36" s="765">
        <v>12</v>
      </c>
      <c r="R36" s="765">
        <v>31</v>
      </c>
      <c r="U36" s="766" t="str">
        <f t="shared" si="1"/>
        <v>2011.1.1</v>
      </c>
      <c r="X36" s="766" t="str">
        <f t="shared" si="2"/>
        <v>2011.12.31</v>
      </c>
      <c r="Z36" s="766">
        <f t="shared" si="3"/>
        <v>365</v>
      </c>
    </row>
    <row r="37" spans="1:26" ht="12.75" hidden="1">
      <c r="A37" s="689">
        <v>37</v>
      </c>
      <c r="B37" s="784"/>
      <c r="C37" s="40" t="s">
        <v>756</v>
      </c>
      <c r="D37" s="785"/>
      <c r="E37" s="788"/>
      <c r="F37" s="785"/>
      <c r="G37" s="788"/>
      <c r="H37" s="1618"/>
      <c r="I37" s="1623"/>
      <c r="J37" s="786">
        <v>0.02</v>
      </c>
      <c r="K37" s="35" t="str">
        <f t="shared" si="4"/>
        <v>    </v>
      </c>
      <c r="L37" s="787">
        <f t="shared" si="0"/>
        <v>0.02</v>
      </c>
      <c r="M37" s="765">
        <v>2011</v>
      </c>
      <c r="N37" s="765">
        <v>1</v>
      </c>
      <c r="O37" s="765">
        <v>1</v>
      </c>
      <c r="P37" s="765">
        <v>2011</v>
      </c>
      <c r="Q37" s="765">
        <v>12</v>
      </c>
      <c r="R37" s="765">
        <v>31</v>
      </c>
      <c r="U37" s="766" t="str">
        <f t="shared" si="1"/>
        <v>2011.1.1</v>
      </c>
      <c r="X37" s="766" t="str">
        <f t="shared" si="2"/>
        <v>2011.12.31</v>
      </c>
      <c r="Z37" s="766">
        <f t="shared" si="3"/>
        <v>365</v>
      </c>
    </row>
    <row r="38" spans="1:26" ht="12.75" hidden="1">
      <c r="A38" s="689">
        <v>38</v>
      </c>
      <c r="B38" s="784"/>
      <c r="C38" s="40" t="s">
        <v>757</v>
      </c>
      <c r="D38" s="785"/>
      <c r="E38" s="788"/>
      <c r="F38" s="785"/>
      <c r="G38" s="788"/>
      <c r="H38" s="1618"/>
      <c r="I38" s="1623"/>
      <c r="J38" s="786">
        <v>0.02</v>
      </c>
      <c r="K38" s="35" t="str">
        <f t="shared" si="4"/>
        <v>    </v>
      </c>
      <c r="L38" s="787">
        <f t="shared" si="0"/>
        <v>0.02</v>
      </c>
      <c r="M38" s="765">
        <v>2011</v>
      </c>
      <c r="N38" s="765">
        <v>1</v>
      </c>
      <c r="O38" s="765">
        <v>1</v>
      </c>
      <c r="P38" s="765">
        <v>2011</v>
      </c>
      <c r="Q38" s="765">
        <v>12</v>
      </c>
      <c r="R38" s="765">
        <v>31</v>
      </c>
      <c r="U38" s="766" t="str">
        <f t="shared" si="1"/>
        <v>2011.1.1</v>
      </c>
      <c r="X38" s="766" t="str">
        <f t="shared" si="2"/>
        <v>2011.12.31</v>
      </c>
      <c r="Z38" s="766">
        <f t="shared" si="3"/>
        <v>365</v>
      </c>
    </row>
    <row r="39" spans="1:26" ht="12.75" hidden="1">
      <c r="A39" s="689">
        <v>39</v>
      </c>
      <c r="B39" s="784"/>
      <c r="C39" s="40" t="s">
        <v>758</v>
      </c>
      <c r="D39" s="785"/>
      <c r="E39" s="788"/>
      <c r="F39" s="785"/>
      <c r="G39" s="788"/>
      <c r="H39" s="1618"/>
      <c r="I39" s="1623"/>
      <c r="J39" s="786">
        <v>0.02</v>
      </c>
      <c r="K39" s="35" t="str">
        <f t="shared" si="4"/>
        <v>    </v>
      </c>
      <c r="L39" s="787">
        <f t="shared" si="0"/>
        <v>0.02</v>
      </c>
      <c r="M39" s="765">
        <v>2011</v>
      </c>
      <c r="N39" s="765">
        <v>1</v>
      </c>
      <c r="O39" s="765">
        <v>1</v>
      </c>
      <c r="P39" s="765">
        <v>2011</v>
      </c>
      <c r="Q39" s="765">
        <v>12</v>
      </c>
      <c r="R39" s="765">
        <v>31</v>
      </c>
      <c r="U39" s="766" t="str">
        <f t="shared" si="1"/>
        <v>2011.1.1</v>
      </c>
      <c r="X39" s="766" t="str">
        <f t="shared" si="2"/>
        <v>2011.12.31</v>
      </c>
      <c r="Z39" s="766">
        <f t="shared" si="3"/>
        <v>365</v>
      </c>
    </row>
    <row r="40" spans="1:26" ht="12.75" hidden="1">
      <c r="A40" s="689">
        <v>40</v>
      </c>
      <c r="B40" s="784"/>
      <c r="C40" s="40" t="s">
        <v>759</v>
      </c>
      <c r="D40" s="785"/>
      <c r="E40" s="788"/>
      <c r="F40" s="785"/>
      <c r="G40" s="788"/>
      <c r="H40" s="1618"/>
      <c r="I40" s="1623"/>
      <c r="J40" s="786">
        <v>0.02</v>
      </c>
      <c r="K40" s="35" t="str">
        <f t="shared" si="4"/>
        <v>    </v>
      </c>
      <c r="L40" s="787">
        <f t="shared" si="0"/>
        <v>0.02</v>
      </c>
      <c r="M40" s="765">
        <v>2011</v>
      </c>
      <c r="N40" s="765">
        <v>1</v>
      </c>
      <c r="O40" s="765">
        <v>1</v>
      </c>
      <c r="P40" s="765">
        <v>2011</v>
      </c>
      <c r="Q40" s="765">
        <v>12</v>
      </c>
      <c r="R40" s="765">
        <v>31</v>
      </c>
      <c r="U40" s="766" t="str">
        <f t="shared" si="1"/>
        <v>2011.1.1</v>
      </c>
      <c r="X40" s="766" t="str">
        <f t="shared" si="2"/>
        <v>2011.12.31</v>
      </c>
      <c r="Z40" s="766">
        <f t="shared" si="3"/>
        <v>365</v>
      </c>
    </row>
    <row r="41" spans="1:26" ht="12.75" hidden="1">
      <c r="A41" s="689">
        <v>41</v>
      </c>
      <c r="B41" s="784"/>
      <c r="C41" s="40" t="s">
        <v>760</v>
      </c>
      <c r="D41" s="785"/>
      <c r="E41" s="788"/>
      <c r="F41" s="785"/>
      <c r="G41" s="788"/>
      <c r="H41" s="1618"/>
      <c r="I41" s="1623"/>
      <c r="J41" s="786">
        <v>0.02</v>
      </c>
      <c r="K41" s="35" t="str">
        <f t="shared" si="4"/>
        <v>    </v>
      </c>
      <c r="L41" s="787">
        <f t="shared" si="0"/>
        <v>0.02</v>
      </c>
      <c r="M41" s="765">
        <v>2011</v>
      </c>
      <c r="N41" s="765">
        <v>1</v>
      </c>
      <c r="O41" s="765">
        <v>1</v>
      </c>
      <c r="P41" s="765">
        <v>2011</v>
      </c>
      <c r="Q41" s="765">
        <v>12</v>
      </c>
      <c r="R41" s="765">
        <v>31</v>
      </c>
      <c r="U41" s="766" t="str">
        <f t="shared" si="1"/>
        <v>2011.1.1</v>
      </c>
      <c r="X41" s="766" t="str">
        <f t="shared" si="2"/>
        <v>2011.12.31</v>
      </c>
      <c r="Z41" s="766">
        <f t="shared" si="3"/>
        <v>365</v>
      </c>
    </row>
    <row r="42" spans="1:26" ht="12.75" hidden="1">
      <c r="A42" s="689">
        <v>42</v>
      </c>
      <c r="B42" s="784"/>
      <c r="C42" s="40" t="s">
        <v>761</v>
      </c>
      <c r="D42" s="785"/>
      <c r="E42" s="788"/>
      <c r="F42" s="785"/>
      <c r="G42" s="788"/>
      <c r="H42" s="1618"/>
      <c r="I42" s="1623"/>
      <c r="J42" s="786">
        <v>0.02</v>
      </c>
      <c r="K42" s="35" t="str">
        <f t="shared" si="4"/>
        <v>    </v>
      </c>
      <c r="L42" s="787">
        <f t="shared" si="0"/>
        <v>0.02</v>
      </c>
      <c r="M42" s="765">
        <v>2011</v>
      </c>
      <c r="N42" s="765">
        <v>1</v>
      </c>
      <c r="O42" s="765">
        <v>1</v>
      </c>
      <c r="P42" s="765">
        <v>2011</v>
      </c>
      <c r="Q42" s="765">
        <v>12</v>
      </c>
      <c r="R42" s="765">
        <v>31</v>
      </c>
      <c r="U42" s="766" t="str">
        <f t="shared" si="1"/>
        <v>2011.1.1</v>
      </c>
      <c r="X42" s="766" t="str">
        <f t="shared" si="2"/>
        <v>2011.12.31</v>
      </c>
      <c r="Z42" s="766">
        <f t="shared" si="3"/>
        <v>365</v>
      </c>
    </row>
    <row r="43" spans="1:26" ht="12.75" hidden="1">
      <c r="A43" s="689">
        <v>43</v>
      </c>
      <c r="B43" s="784"/>
      <c r="C43" s="40" t="s">
        <v>762</v>
      </c>
      <c r="D43" s="785"/>
      <c r="E43" s="788"/>
      <c r="F43" s="785"/>
      <c r="G43" s="788"/>
      <c r="H43" s="1618"/>
      <c r="I43" s="1623"/>
      <c r="J43" s="786">
        <v>0.02</v>
      </c>
      <c r="K43" s="35" t="str">
        <f t="shared" si="4"/>
        <v>    </v>
      </c>
      <c r="L43" s="787">
        <f t="shared" si="0"/>
        <v>0.02</v>
      </c>
      <c r="M43" s="765">
        <v>2011</v>
      </c>
      <c r="N43" s="765">
        <v>1</v>
      </c>
      <c r="O43" s="765">
        <v>1</v>
      </c>
      <c r="P43" s="765">
        <v>2011</v>
      </c>
      <c r="Q43" s="765">
        <v>12</v>
      </c>
      <c r="R43" s="765">
        <v>31</v>
      </c>
      <c r="U43" s="766" t="str">
        <f t="shared" si="1"/>
        <v>2011.1.1</v>
      </c>
      <c r="X43" s="766" t="str">
        <f t="shared" si="2"/>
        <v>2011.12.31</v>
      </c>
      <c r="Z43" s="766">
        <f t="shared" si="3"/>
        <v>365</v>
      </c>
    </row>
    <row r="44" spans="1:26" ht="12.75" hidden="1">
      <c r="A44" s="689">
        <v>44</v>
      </c>
      <c r="B44" s="784"/>
      <c r="C44" s="40" t="s">
        <v>763</v>
      </c>
      <c r="D44" s="785"/>
      <c r="E44" s="788"/>
      <c r="F44" s="785"/>
      <c r="G44" s="788"/>
      <c r="H44" s="1618"/>
      <c r="I44" s="1623"/>
      <c r="J44" s="786">
        <v>0.02</v>
      </c>
      <c r="K44" s="35" t="str">
        <f t="shared" si="4"/>
        <v>    </v>
      </c>
      <c r="L44" s="787">
        <f t="shared" si="0"/>
        <v>0.02</v>
      </c>
      <c r="M44" s="765">
        <v>2011</v>
      </c>
      <c r="N44" s="765">
        <v>1</v>
      </c>
      <c r="O44" s="765">
        <v>1</v>
      </c>
      <c r="P44" s="765">
        <v>2011</v>
      </c>
      <c r="Q44" s="765">
        <v>12</v>
      </c>
      <c r="R44" s="765">
        <v>31</v>
      </c>
      <c r="U44" s="766" t="str">
        <f t="shared" si="1"/>
        <v>2011.1.1</v>
      </c>
      <c r="X44" s="766" t="str">
        <f t="shared" si="2"/>
        <v>2011.12.31</v>
      </c>
      <c r="Z44" s="766">
        <f t="shared" si="3"/>
        <v>365</v>
      </c>
    </row>
    <row r="45" spans="1:26" ht="12.75" hidden="1">
      <c r="A45" s="689">
        <v>45</v>
      </c>
      <c r="B45" s="784"/>
      <c r="C45" s="40" t="s">
        <v>764</v>
      </c>
      <c r="D45" s="785"/>
      <c r="E45" s="788"/>
      <c r="F45" s="785"/>
      <c r="G45" s="788"/>
      <c r="H45" s="1618"/>
      <c r="I45" s="1623"/>
      <c r="J45" s="786">
        <v>0.02</v>
      </c>
      <c r="K45" s="35" t="str">
        <f t="shared" si="4"/>
        <v>    </v>
      </c>
      <c r="L45" s="787">
        <f t="shared" si="0"/>
        <v>0.02</v>
      </c>
      <c r="M45" s="765">
        <v>2011</v>
      </c>
      <c r="N45" s="765">
        <v>1</v>
      </c>
      <c r="O45" s="765">
        <v>1</v>
      </c>
      <c r="P45" s="765">
        <v>2011</v>
      </c>
      <c r="Q45" s="765">
        <v>12</v>
      </c>
      <c r="R45" s="765">
        <v>31</v>
      </c>
      <c r="U45" s="766" t="str">
        <f t="shared" si="1"/>
        <v>2011.1.1</v>
      </c>
      <c r="X45" s="766" t="str">
        <f t="shared" si="2"/>
        <v>2011.12.31</v>
      </c>
      <c r="Z45" s="766">
        <f t="shared" si="3"/>
        <v>365</v>
      </c>
    </row>
    <row r="46" spans="1:26" ht="12.75" hidden="1">
      <c r="A46" s="689">
        <v>46</v>
      </c>
      <c r="B46" s="784"/>
      <c r="C46" s="40" t="s">
        <v>765</v>
      </c>
      <c r="D46" s="785"/>
      <c r="E46" s="788"/>
      <c r="F46" s="785"/>
      <c r="G46" s="788"/>
      <c r="H46" s="1618"/>
      <c r="I46" s="1623"/>
      <c r="J46" s="786">
        <v>0.02</v>
      </c>
      <c r="K46" s="35" t="str">
        <f t="shared" si="4"/>
        <v>    </v>
      </c>
      <c r="L46" s="787">
        <f t="shared" si="0"/>
        <v>0.02</v>
      </c>
      <c r="M46" s="765">
        <v>2011</v>
      </c>
      <c r="N46" s="765">
        <v>1</v>
      </c>
      <c r="O46" s="765">
        <v>1</v>
      </c>
      <c r="P46" s="765">
        <v>2011</v>
      </c>
      <c r="Q46" s="765">
        <v>12</v>
      </c>
      <c r="R46" s="765">
        <v>31</v>
      </c>
      <c r="U46" s="766" t="str">
        <f t="shared" si="1"/>
        <v>2011.1.1</v>
      </c>
      <c r="X46" s="766" t="str">
        <f t="shared" si="2"/>
        <v>2011.12.31</v>
      </c>
      <c r="Z46" s="766">
        <f t="shared" si="3"/>
        <v>365</v>
      </c>
    </row>
    <row r="47" spans="1:26" ht="12.75" hidden="1">
      <c r="A47" s="689">
        <v>47</v>
      </c>
      <c r="B47" s="784"/>
      <c r="C47" s="40" t="s">
        <v>766</v>
      </c>
      <c r="D47" s="788"/>
      <c r="E47" s="785"/>
      <c r="F47" s="785"/>
      <c r="G47" s="785"/>
      <c r="H47" s="1618"/>
      <c r="I47" s="1618"/>
      <c r="J47" s="786">
        <v>0.02</v>
      </c>
      <c r="K47" s="35" t="str">
        <f t="shared" si="4"/>
        <v>    </v>
      </c>
      <c r="L47" s="787">
        <f t="shared" si="0"/>
        <v>0.02</v>
      </c>
      <c r="M47" s="765">
        <v>2011</v>
      </c>
      <c r="N47" s="765">
        <v>1</v>
      </c>
      <c r="O47" s="765">
        <v>1</v>
      </c>
      <c r="P47" s="765">
        <v>2011</v>
      </c>
      <c r="Q47" s="765">
        <v>12</v>
      </c>
      <c r="R47" s="765">
        <v>31</v>
      </c>
      <c r="U47" s="766" t="str">
        <f t="shared" si="1"/>
        <v>2011.1.1</v>
      </c>
      <c r="X47" s="766" t="str">
        <f t="shared" si="2"/>
        <v>2011.12.31</v>
      </c>
      <c r="Z47" s="766">
        <f t="shared" si="3"/>
        <v>365</v>
      </c>
    </row>
    <row r="48" spans="1:26" ht="12.75" hidden="1">
      <c r="A48" s="689">
        <v>48</v>
      </c>
      <c r="B48" s="784"/>
      <c r="C48" s="40" t="s">
        <v>767</v>
      </c>
      <c r="D48" s="788"/>
      <c r="E48" s="785"/>
      <c r="F48" s="785"/>
      <c r="G48" s="785"/>
      <c r="H48" s="1618"/>
      <c r="I48" s="1618"/>
      <c r="J48" s="786">
        <v>0.02</v>
      </c>
      <c r="K48" s="35" t="str">
        <f t="shared" si="4"/>
        <v>    </v>
      </c>
      <c r="L48" s="787">
        <f t="shared" si="0"/>
        <v>0.02</v>
      </c>
      <c r="M48" s="765">
        <v>2011</v>
      </c>
      <c r="N48" s="765">
        <v>1</v>
      </c>
      <c r="O48" s="765">
        <v>1</v>
      </c>
      <c r="P48" s="765">
        <v>2011</v>
      </c>
      <c r="Q48" s="765">
        <v>12</v>
      </c>
      <c r="R48" s="765">
        <v>31</v>
      </c>
      <c r="U48" s="766" t="str">
        <f t="shared" si="1"/>
        <v>2011.1.1</v>
      </c>
      <c r="X48" s="766" t="str">
        <f t="shared" si="2"/>
        <v>2011.12.31</v>
      </c>
      <c r="Z48" s="766">
        <f t="shared" si="3"/>
        <v>365</v>
      </c>
    </row>
    <row r="49" spans="1:26" ht="12.75" hidden="1">
      <c r="A49" s="689">
        <v>49</v>
      </c>
      <c r="B49" s="784"/>
      <c r="C49" s="40" t="s">
        <v>768</v>
      </c>
      <c r="D49" s="788"/>
      <c r="E49" s="785"/>
      <c r="F49" s="785"/>
      <c r="G49" s="785"/>
      <c r="H49" s="1618"/>
      <c r="I49" s="1618"/>
      <c r="J49" s="786">
        <v>0.02</v>
      </c>
      <c r="K49" s="35" t="str">
        <f t="shared" si="4"/>
        <v>    </v>
      </c>
      <c r="L49" s="787">
        <f t="shared" si="0"/>
        <v>0.02</v>
      </c>
      <c r="M49" s="765">
        <v>2011</v>
      </c>
      <c r="N49" s="765">
        <v>1</v>
      </c>
      <c r="O49" s="765">
        <v>1</v>
      </c>
      <c r="P49" s="765">
        <v>2011</v>
      </c>
      <c r="Q49" s="765">
        <v>12</v>
      </c>
      <c r="R49" s="765">
        <v>31</v>
      </c>
      <c r="U49" s="766" t="str">
        <f t="shared" si="1"/>
        <v>2011.1.1</v>
      </c>
      <c r="X49" s="766" t="str">
        <f t="shared" si="2"/>
        <v>2011.12.31</v>
      </c>
      <c r="Z49" s="766">
        <f t="shared" si="3"/>
        <v>365</v>
      </c>
    </row>
    <row r="50" spans="1:26" ht="12.75" hidden="1">
      <c r="A50" s="689">
        <v>50</v>
      </c>
      <c r="B50" s="784"/>
      <c r="C50" s="40" t="s">
        <v>772</v>
      </c>
      <c r="D50" s="788"/>
      <c r="E50" s="785"/>
      <c r="F50" s="785"/>
      <c r="G50" s="785"/>
      <c r="H50" s="1618"/>
      <c r="I50" s="1618"/>
      <c r="J50" s="786">
        <v>0.02</v>
      </c>
      <c r="K50" s="35" t="str">
        <f t="shared" si="4"/>
        <v>    </v>
      </c>
      <c r="L50" s="787">
        <f t="shared" si="0"/>
        <v>0.02</v>
      </c>
      <c r="M50" s="765">
        <v>2011</v>
      </c>
      <c r="N50" s="765">
        <v>1</v>
      </c>
      <c r="O50" s="765">
        <v>1</v>
      </c>
      <c r="P50" s="765">
        <v>2011</v>
      </c>
      <c r="Q50" s="765">
        <v>12</v>
      </c>
      <c r="R50" s="765">
        <v>31</v>
      </c>
      <c r="U50" s="766" t="str">
        <f t="shared" si="1"/>
        <v>2011.1.1</v>
      </c>
      <c r="X50" s="766" t="str">
        <f t="shared" si="2"/>
        <v>2011.12.31</v>
      </c>
      <c r="Z50" s="766">
        <f t="shared" si="3"/>
        <v>365</v>
      </c>
    </row>
    <row r="51" spans="1:26" ht="12.75" hidden="1">
      <c r="A51" s="689">
        <v>51</v>
      </c>
      <c r="B51" s="784"/>
      <c r="C51" s="40" t="s">
        <v>773</v>
      </c>
      <c r="D51" s="788"/>
      <c r="E51" s="785"/>
      <c r="F51" s="785"/>
      <c r="G51" s="785"/>
      <c r="H51" s="1618"/>
      <c r="I51" s="1618"/>
      <c r="J51" s="786">
        <v>0.02</v>
      </c>
      <c r="K51" s="35" t="str">
        <f t="shared" si="4"/>
        <v>    </v>
      </c>
      <c r="L51" s="787">
        <f t="shared" si="0"/>
        <v>0.02</v>
      </c>
      <c r="M51" s="765">
        <v>2011</v>
      </c>
      <c r="N51" s="765">
        <v>1</v>
      </c>
      <c r="O51" s="765">
        <v>1</v>
      </c>
      <c r="P51" s="765">
        <v>2011</v>
      </c>
      <c r="Q51" s="765">
        <v>12</v>
      </c>
      <c r="R51" s="765">
        <v>31</v>
      </c>
      <c r="U51" s="766" t="str">
        <f t="shared" si="1"/>
        <v>2011.1.1</v>
      </c>
      <c r="X51" s="766" t="str">
        <f t="shared" si="2"/>
        <v>2011.12.31</v>
      </c>
      <c r="Z51" s="766">
        <f t="shared" si="3"/>
        <v>365</v>
      </c>
    </row>
    <row r="52" spans="1:26" ht="12.75" hidden="1">
      <c r="A52" s="689">
        <v>52</v>
      </c>
      <c r="B52" s="784"/>
      <c r="C52" s="40" t="s">
        <v>774</v>
      </c>
      <c r="D52" s="788"/>
      <c r="E52" s="785"/>
      <c r="F52" s="785"/>
      <c r="G52" s="785"/>
      <c r="H52" s="1618"/>
      <c r="I52" s="1618"/>
      <c r="J52" s="786">
        <v>0.02</v>
      </c>
      <c r="K52" s="35" t="str">
        <f t="shared" si="4"/>
        <v>    </v>
      </c>
      <c r="L52" s="787">
        <f t="shared" si="0"/>
        <v>0.02</v>
      </c>
      <c r="M52" s="765">
        <v>2011</v>
      </c>
      <c r="N52" s="765">
        <v>1</v>
      </c>
      <c r="O52" s="765">
        <v>1</v>
      </c>
      <c r="P52" s="765">
        <v>2011</v>
      </c>
      <c r="Q52" s="765">
        <v>12</v>
      </c>
      <c r="R52" s="765">
        <v>31</v>
      </c>
      <c r="U52" s="766" t="str">
        <f t="shared" si="1"/>
        <v>2011.1.1</v>
      </c>
      <c r="X52" s="766" t="str">
        <f t="shared" si="2"/>
        <v>2011.12.31</v>
      </c>
      <c r="Z52" s="766">
        <f t="shared" si="3"/>
        <v>365</v>
      </c>
    </row>
    <row r="53" spans="1:26" ht="12.75" hidden="1">
      <c r="A53" s="689">
        <v>53</v>
      </c>
      <c r="B53" s="784"/>
      <c r="C53" s="40" t="s">
        <v>775</v>
      </c>
      <c r="D53" s="788"/>
      <c r="E53" s="785"/>
      <c r="F53" s="785"/>
      <c r="G53" s="785"/>
      <c r="H53" s="1618"/>
      <c r="I53" s="1618"/>
      <c r="J53" s="786">
        <v>0.02</v>
      </c>
      <c r="K53" s="35" t="str">
        <f t="shared" si="4"/>
        <v>    </v>
      </c>
      <c r="L53" s="787">
        <f t="shared" si="0"/>
        <v>0.02</v>
      </c>
      <c r="M53" s="765">
        <v>2011</v>
      </c>
      <c r="N53" s="765">
        <v>1</v>
      </c>
      <c r="O53" s="765">
        <v>1</v>
      </c>
      <c r="P53" s="765">
        <v>2011</v>
      </c>
      <c r="Q53" s="765">
        <v>12</v>
      </c>
      <c r="R53" s="765">
        <v>31</v>
      </c>
      <c r="U53" s="766" t="str">
        <f t="shared" si="1"/>
        <v>2011.1.1</v>
      </c>
      <c r="X53" s="766" t="str">
        <f t="shared" si="2"/>
        <v>2011.12.31</v>
      </c>
      <c r="Z53" s="766">
        <f t="shared" si="3"/>
        <v>365</v>
      </c>
    </row>
    <row r="54" spans="1:26" ht="12.75" hidden="1">
      <c r="A54" s="689">
        <v>54</v>
      </c>
      <c r="B54" s="784"/>
      <c r="C54" s="40" t="s">
        <v>776</v>
      </c>
      <c r="D54" s="788"/>
      <c r="E54" s="785"/>
      <c r="F54" s="785"/>
      <c r="G54" s="785"/>
      <c r="H54" s="1618"/>
      <c r="I54" s="1618"/>
      <c r="J54" s="786">
        <v>0.02</v>
      </c>
      <c r="K54" s="35" t="str">
        <f t="shared" si="4"/>
        <v>    </v>
      </c>
      <c r="L54" s="787">
        <f t="shared" si="0"/>
        <v>0.02</v>
      </c>
      <c r="M54" s="765">
        <v>2011</v>
      </c>
      <c r="N54" s="765">
        <v>1</v>
      </c>
      <c r="O54" s="765">
        <v>1</v>
      </c>
      <c r="P54" s="765">
        <v>2011</v>
      </c>
      <c r="Q54" s="765">
        <v>12</v>
      </c>
      <c r="R54" s="765">
        <v>31</v>
      </c>
      <c r="U54" s="766" t="str">
        <f t="shared" si="1"/>
        <v>2011.1.1</v>
      </c>
      <c r="X54" s="766" t="str">
        <f t="shared" si="2"/>
        <v>2011.12.31</v>
      </c>
      <c r="Z54" s="766">
        <f t="shared" si="3"/>
        <v>365</v>
      </c>
    </row>
    <row r="55" spans="1:26" ht="12.75" hidden="1">
      <c r="A55" s="689">
        <v>55</v>
      </c>
      <c r="B55" s="784"/>
      <c r="C55" s="40" t="s">
        <v>777</v>
      </c>
      <c r="D55" s="788"/>
      <c r="E55" s="785"/>
      <c r="F55" s="785"/>
      <c r="G55" s="785"/>
      <c r="H55" s="1618"/>
      <c r="I55" s="1618"/>
      <c r="J55" s="786">
        <v>0.02</v>
      </c>
      <c r="K55" s="35" t="str">
        <f t="shared" si="4"/>
        <v>    </v>
      </c>
      <c r="L55" s="787">
        <f t="shared" si="0"/>
        <v>0.02</v>
      </c>
      <c r="M55" s="765">
        <v>2011</v>
      </c>
      <c r="N55" s="765">
        <v>1</v>
      </c>
      <c r="O55" s="765">
        <v>1</v>
      </c>
      <c r="P55" s="765">
        <v>2011</v>
      </c>
      <c r="Q55" s="765">
        <v>12</v>
      </c>
      <c r="R55" s="765">
        <v>31</v>
      </c>
      <c r="U55" s="766" t="str">
        <f t="shared" si="1"/>
        <v>2011.1.1</v>
      </c>
      <c r="X55" s="766" t="str">
        <f t="shared" si="2"/>
        <v>2011.12.31</v>
      </c>
      <c r="Z55" s="766">
        <f t="shared" si="3"/>
        <v>365</v>
      </c>
    </row>
    <row r="56" spans="1:26" ht="12.75" hidden="1">
      <c r="A56" s="689">
        <v>56</v>
      </c>
      <c r="B56" s="784"/>
      <c r="C56" s="40" t="s">
        <v>778</v>
      </c>
      <c r="D56" s="788"/>
      <c r="E56" s="785"/>
      <c r="F56" s="785"/>
      <c r="G56" s="785"/>
      <c r="H56" s="1618"/>
      <c r="I56" s="1618"/>
      <c r="J56" s="786">
        <v>0.02</v>
      </c>
      <c r="K56" s="35" t="str">
        <f t="shared" si="4"/>
        <v>    </v>
      </c>
      <c r="L56" s="787">
        <f t="shared" si="0"/>
        <v>0.02</v>
      </c>
      <c r="M56" s="765">
        <v>2011</v>
      </c>
      <c r="N56" s="765">
        <v>1</v>
      </c>
      <c r="O56" s="765">
        <v>1</v>
      </c>
      <c r="P56" s="765">
        <v>2011</v>
      </c>
      <c r="Q56" s="765">
        <v>12</v>
      </c>
      <c r="R56" s="765">
        <v>31</v>
      </c>
      <c r="U56" s="766" t="str">
        <f t="shared" si="1"/>
        <v>2011.1.1</v>
      </c>
      <c r="X56" s="766" t="str">
        <f t="shared" si="2"/>
        <v>2011.12.31</v>
      </c>
      <c r="Z56" s="766">
        <f t="shared" si="3"/>
        <v>365</v>
      </c>
    </row>
    <row r="57" spans="1:26" ht="12.75" hidden="1">
      <c r="A57" s="689">
        <v>57</v>
      </c>
      <c r="B57" s="784"/>
      <c r="C57" s="40" t="s">
        <v>779</v>
      </c>
      <c r="D57" s="788"/>
      <c r="E57" s="785"/>
      <c r="F57" s="785"/>
      <c r="G57" s="785"/>
      <c r="H57" s="1618"/>
      <c r="I57" s="1618"/>
      <c r="J57" s="786">
        <v>0.02</v>
      </c>
      <c r="K57" s="35" t="str">
        <f t="shared" si="4"/>
        <v>    </v>
      </c>
      <c r="L57" s="787">
        <f t="shared" si="0"/>
        <v>0.02</v>
      </c>
      <c r="M57" s="765">
        <v>2011</v>
      </c>
      <c r="N57" s="765">
        <v>1</v>
      </c>
      <c r="O57" s="765">
        <v>1</v>
      </c>
      <c r="P57" s="765">
        <v>2011</v>
      </c>
      <c r="Q57" s="765">
        <v>12</v>
      </c>
      <c r="R57" s="765">
        <v>31</v>
      </c>
      <c r="U57" s="766" t="str">
        <f t="shared" si="1"/>
        <v>2011.1.1</v>
      </c>
      <c r="X57" s="766" t="str">
        <f t="shared" si="2"/>
        <v>2011.12.31</v>
      </c>
      <c r="Z57" s="766">
        <f t="shared" si="3"/>
        <v>365</v>
      </c>
    </row>
    <row r="58" spans="1:26" ht="12.75" hidden="1">
      <c r="A58" s="689">
        <v>58</v>
      </c>
      <c r="B58" s="784"/>
      <c r="C58" s="40" t="s">
        <v>780</v>
      </c>
      <c r="D58" s="788"/>
      <c r="E58" s="785"/>
      <c r="F58" s="785"/>
      <c r="G58" s="785"/>
      <c r="H58" s="1618"/>
      <c r="I58" s="1618"/>
      <c r="J58" s="786">
        <v>0.02</v>
      </c>
      <c r="K58" s="35" t="str">
        <f t="shared" si="4"/>
        <v>    </v>
      </c>
      <c r="L58" s="787">
        <f t="shared" si="0"/>
        <v>0.02</v>
      </c>
      <c r="M58" s="765">
        <v>2011</v>
      </c>
      <c r="N58" s="765">
        <v>1</v>
      </c>
      <c r="O58" s="765">
        <v>1</v>
      </c>
      <c r="P58" s="765">
        <v>2011</v>
      </c>
      <c r="Q58" s="765">
        <v>12</v>
      </c>
      <c r="R58" s="765">
        <v>31</v>
      </c>
      <c r="U58" s="766" t="str">
        <f t="shared" si="1"/>
        <v>2011.1.1</v>
      </c>
      <c r="X58" s="766" t="str">
        <f t="shared" si="2"/>
        <v>2011.12.31</v>
      </c>
      <c r="Z58" s="766">
        <f t="shared" si="3"/>
        <v>365</v>
      </c>
    </row>
    <row r="59" spans="1:26" ht="12.75" hidden="1">
      <c r="A59" s="689">
        <v>59</v>
      </c>
      <c r="B59" s="784"/>
      <c r="C59" s="40" t="s">
        <v>781</v>
      </c>
      <c r="D59" s="788"/>
      <c r="E59" s="785"/>
      <c r="F59" s="785"/>
      <c r="G59" s="785"/>
      <c r="H59" s="1618"/>
      <c r="I59" s="1618"/>
      <c r="J59" s="786">
        <v>0.02</v>
      </c>
      <c r="K59" s="35" t="str">
        <f t="shared" si="4"/>
        <v>    </v>
      </c>
      <c r="L59" s="787">
        <f t="shared" si="0"/>
        <v>0.02</v>
      </c>
      <c r="M59" s="765">
        <v>2011</v>
      </c>
      <c r="N59" s="765">
        <v>1</v>
      </c>
      <c r="O59" s="765">
        <v>1</v>
      </c>
      <c r="P59" s="765">
        <v>2011</v>
      </c>
      <c r="Q59" s="765">
        <v>12</v>
      </c>
      <c r="R59" s="765">
        <v>31</v>
      </c>
      <c r="U59" s="766" t="str">
        <f t="shared" si="1"/>
        <v>2011.1.1</v>
      </c>
      <c r="X59" s="766" t="str">
        <f t="shared" si="2"/>
        <v>2011.12.31</v>
      </c>
      <c r="Z59" s="766">
        <f t="shared" si="3"/>
        <v>365</v>
      </c>
    </row>
    <row r="60" spans="1:26" ht="12.75" hidden="1">
      <c r="A60" s="689">
        <v>60</v>
      </c>
      <c r="B60" s="784"/>
      <c r="C60" s="40" t="s">
        <v>782</v>
      </c>
      <c r="D60" s="788"/>
      <c r="E60" s="785"/>
      <c r="F60" s="785"/>
      <c r="G60" s="785"/>
      <c r="H60" s="1618"/>
      <c r="I60" s="1618"/>
      <c r="J60" s="786">
        <v>0.02</v>
      </c>
      <c r="K60" s="35" t="str">
        <f t="shared" si="4"/>
        <v>    </v>
      </c>
      <c r="L60" s="787">
        <f t="shared" si="0"/>
        <v>0.02</v>
      </c>
      <c r="M60" s="765">
        <v>2011</v>
      </c>
      <c r="N60" s="765">
        <v>1</v>
      </c>
      <c r="O60" s="765">
        <v>1</v>
      </c>
      <c r="P60" s="765">
        <v>2011</v>
      </c>
      <c r="Q60" s="765">
        <v>12</v>
      </c>
      <c r="R60" s="765">
        <v>31</v>
      </c>
      <c r="U60" s="766" t="str">
        <f t="shared" si="1"/>
        <v>2011.1.1</v>
      </c>
      <c r="X60" s="766" t="str">
        <f t="shared" si="2"/>
        <v>2011.12.31</v>
      </c>
      <c r="Z60" s="766">
        <f t="shared" si="3"/>
        <v>365</v>
      </c>
    </row>
    <row r="61" spans="1:26" ht="12.75" hidden="1">
      <c r="A61" s="689">
        <v>61</v>
      </c>
      <c r="B61" s="784"/>
      <c r="C61" s="40" t="s">
        <v>783</v>
      </c>
      <c r="D61" s="788"/>
      <c r="E61" s="785"/>
      <c r="F61" s="785"/>
      <c r="G61" s="785"/>
      <c r="H61" s="1618"/>
      <c r="I61" s="1618"/>
      <c r="J61" s="786">
        <v>0.02</v>
      </c>
      <c r="K61" s="35" t="str">
        <f t="shared" si="4"/>
        <v>    </v>
      </c>
      <c r="L61" s="787">
        <f t="shared" si="0"/>
        <v>0.02</v>
      </c>
      <c r="M61" s="765">
        <v>2011</v>
      </c>
      <c r="N61" s="765">
        <v>1</v>
      </c>
      <c r="O61" s="765">
        <v>1</v>
      </c>
      <c r="P61" s="765">
        <v>2011</v>
      </c>
      <c r="Q61" s="765">
        <v>12</v>
      </c>
      <c r="R61" s="765">
        <v>31</v>
      </c>
      <c r="U61" s="766" t="str">
        <f t="shared" si="1"/>
        <v>2011.1.1</v>
      </c>
      <c r="X61" s="766" t="str">
        <f t="shared" si="2"/>
        <v>2011.12.31</v>
      </c>
      <c r="Z61" s="766">
        <f t="shared" si="3"/>
        <v>365</v>
      </c>
    </row>
    <row r="62" spans="1:26" ht="12.75" hidden="1">
      <c r="A62" s="689">
        <v>62</v>
      </c>
      <c r="B62" s="784"/>
      <c r="C62" s="40" t="s">
        <v>784</v>
      </c>
      <c r="D62" s="788"/>
      <c r="E62" s="785"/>
      <c r="F62" s="785"/>
      <c r="G62" s="785"/>
      <c r="H62" s="1618"/>
      <c r="I62" s="1618"/>
      <c r="J62" s="786">
        <v>0.02</v>
      </c>
      <c r="K62" s="35" t="str">
        <f t="shared" si="4"/>
        <v>    </v>
      </c>
      <c r="L62" s="787">
        <f t="shared" si="0"/>
        <v>0.02</v>
      </c>
      <c r="M62" s="765">
        <v>2011</v>
      </c>
      <c r="N62" s="765">
        <v>1</v>
      </c>
      <c r="O62" s="765">
        <v>1</v>
      </c>
      <c r="P62" s="765">
        <v>2011</v>
      </c>
      <c r="Q62" s="765">
        <v>12</v>
      </c>
      <c r="R62" s="765">
        <v>31</v>
      </c>
      <c r="U62" s="766" t="str">
        <f t="shared" si="1"/>
        <v>2011.1.1</v>
      </c>
      <c r="X62" s="766" t="str">
        <f t="shared" si="2"/>
        <v>2011.12.31</v>
      </c>
      <c r="Z62" s="766">
        <f t="shared" si="3"/>
        <v>365</v>
      </c>
    </row>
    <row r="63" spans="1:26" ht="12.75" hidden="1">
      <c r="A63" s="689">
        <v>63</v>
      </c>
      <c r="B63" s="784"/>
      <c r="C63" s="40" t="s">
        <v>785</v>
      </c>
      <c r="D63" s="788"/>
      <c r="E63" s="785"/>
      <c r="F63" s="785"/>
      <c r="G63" s="785"/>
      <c r="H63" s="1618"/>
      <c r="I63" s="1618"/>
      <c r="J63" s="786">
        <v>0.02</v>
      </c>
      <c r="K63" s="35" t="str">
        <f t="shared" si="4"/>
        <v>    </v>
      </c>
      <c r="L63" s="787">
        <f t="shared" si="0"/>
        <v>0.02</v>
      </c>
      <c r="M63" s="765">
        <v>2011</v>
      </c>
      <c r="N63" s="765">
        <v>1</v>
      </c>
      <c r="O63" s="765">
        <v>1</v>
      </c>
      <c r="P63" s="765">
        <v>2011</v>
      </c>
      <c r="Q63" s="765">
        <v>12</v>
      </c>
      <c r="R63" s="765">
        <v>31</v>
      </c>
      <c r="U63" s="766" t="str">
        <f t="shared" si="1"/>
        <v>2011.1.1</v>
      </c>
      <c r="X63" s="766" t="str">
        <f t="shared" si="2"/>
        <v>2011.12.31</v>
      </c>
      <c r="Z63" s="766">
        <f t="shared" si="3"/>
        <v>365</v>
      </c>
    </row>
    <row r="64" spans="1:26" ht="12.75" hidden="1">
      <c r="A64" s="689">
        <v>64</v>
      </c>
      <c r="B64" s="784"/>
      <c r="C64" s="40" t="s">
        <v>786</v>
      </c>
      <c r="D64" s="788"/>
      <c r="E64" s="785"/>
      <c r="F64" s="785"/>
      <c r="G64" s="785"/>
      <c r="H64" s="1618"/>
      <c r="I64" s="1618"/>
      <c r="J64" s="786">
        <v>0.02</v>
      </c>
      <c r="K64" s="35" t="str">
        <f t="shared" si="4"/>
        <v>    </v>
      </c>
      <c r="L64" s="787">
        <f t="shared" si="0"/>
        <v>0.02</v>
      </c>
      <c r="M64" s="765">
        <v>2011</v>
      </c>
      <c r="N64" s="765">
        <v>1</v>
      </c>
      <c r="O64" s="765">
        <v>1</v>
      </c>
      <c r="P64" s="765">
        <v>2011</v>
      </c>
      <c r="Q64" s="765">
        <v>12</v>
      </c>
      <c r="R64" s="765">
        <v>31</v>
      </c>
      <c r="U64" s="766" t="str">
        <f t="shared" si="1"/>
        <v>2011.1.1</v>
      </c>
      <c r="X64" s="766" t="str">
        <f t="shared" si="2"/>
        <v>2011.12.31</v>
      </c>
      <c r="Z64" s="766">
        <f t="shared" si="3"/>
        <v>365</v>
      </c>
    </row>
    <row r="65" spans="1:26" ht="12.75" hidden="1">
      <c r="A65" s="689">
        <v>65</v>
      </c>
      <c r="B65" s="784"/>
      <c r="C65" s="40" t="s">
        <v>787</v>
      </c>
      <c r="D65" s="788"/>
      <c r="E65" s="785"/>
      <c r="F65" s="785"/>
      <c r="G65" s="785"/>
      <c r="H65" s="1618"/>
      <c r="I65" s="1618"/>
      <c r="J65" s="786">
        <v>0.02</v>
      </c>
      <c r="K65" s="35" t="str">
        <f t="shared" si="4"/>
        <v>    </v>
      </c>
      <c r="L65" s="787">
        <f t="shared" si="0"/>
        <v>0.02</v>
      </c>
      <c r="M65" s="765">
        <v>2011</v>
      </c>
      <c r="N65" s="765">
        <v>1</v>
      </c>
      <c r="O65" s="765">
        <v>1</v>
      </c>
      <c r="P65" s="765">
        <v>2011</v>
      </c>
      <c r="Q65" s="765">
        <v>12</v>
      </c>
      <c r="R65" s="765">
        <v>31</v>
      </c>
      <c r="U65" s="766" t="str">
        <f t="shared" si="1"/>
        <v>2011.1.1</v>
      </c>
      <c r="X65" s="766" t="str">
        <f t="shared" si="2"/>
        <v>2011.12.31</v>
      </c>
      <c r="Z65" s="766">
        <f t="shared" si="3"/>
        <v>365</v>
      </c>
    </row>
    <row r="66" spans="1:26" ht="12.75" hidden="1">
      <c r="A66" s="689">
        <v>66</v>
      </c>
      <c r="B66" s="784"/>
      <c r="C66" s="40" t="s">
        <v>788</v>
      </c>
      <c r="D66" s="788"/>
      <c r="E66" s="785"/>
      <c r="F66" s="785" t="s">
        <v>816</v>
      </c>
      <c r="G66" s="785"/>
      <c r="H66" s="1618"/>
      <c r="I66" s="1618"/>
      <c r="J66" s="786">
        <v>0.02</v>
      </c>
      <c r="K66" s="35" t="str">
        <f t="shared" si="4"/>
        <v>  40  </v>
      </c>
      <c r="L66" s="787">
        <f t="shared" si="0"/>
        <v>0.02</v>
      </c>
      <c r="M66" s="765">
        <v>2011</v>
      </c>
      <c r="N66" s="765">
        <v>1</v>
      </c>
      <c r="O66" s="765">
        <v>1</v>
      </c>
      <c r="P66" s="765">
        <v>2011</v>
      </c>
      <c r="Q66" s="765">
        <v>12</v>
      </c>
      <c r="R66" s="765">
        <v>31</v>
      </c>
      <c r="U66" s="766" t="str">
        <f t="shared" si="1"/>
        <v>2011.1.1</v>
      </c>
      <c r="X66" s="766" t="str">
        <f t="shared" si="2"/>
        <v>2011.12.31</v>
      </c>
      <c r="Z66" s="766">
        <f t="shared" si="3"/>
        <v>365</v>
      </c>
    </row>
    <row r="67" spans="1:26" ht="12.75" hidden="1">
      <c r="A67" s="689">
        <v>67</v>
      </c>
      <c r="B67" s="784"/>
      <c r="C67" s="40" t="s">
        <v>789</v>
      </c>
      <c r="D67" s="788"/>
      <c r="E67" s="785"/>
      <c r="F67" s="785"/>
      <c r="G67" s="785"/>
      <c r="H67" s="1618"/>
      <c r="I67" s="1618"/>
      <c r="J67" s="786">
        <v>0.02</v>
      </c>
      <c r="K67" s="35" t="str">
        <f t="shared" si="4"/>
        <v>    </v>
      </c>
      <c r="L67" s="787">
        <f t="shared" si="0"/>
        <v>0.02</v>
      </c>
      <c r="M67" s="765">
        <v>2011</v>
      </c>
      <c r="N67" s="765">
        <v>1</v>
      </c>
      <c r="O67" s="765">
        <v>1</v>
      </c>
      <c r="P67" s="765">
        <v>2011</v>
      </c>
      <c r="Q67" s="765">
        <v>12</v>
      </c>
      <c r="R67" s="765">
        <v>31</v>
      </c>
      <c r="U67" s="766" t="str">
        <f t="shared" si="1"/>
        <v>2011.1.1</v>
      </c>
      <c r="X67" s="766" t="str">
        <f t="shared" si="2"/>
        <v>2011.12.31</v>
      </c>
      <c r="Z67" s="766">
        <f t="shared" si="3"/>
        <v>365</v>
      </c>
    </row>
    <row r="68" spans="1:26" ht="12.75" hidden="1">
      <c r="A68" s="689">
        <v>68</v>
      </c>
      <c r="B68" s="784"/>
      <c r="C68" s="40" t="s">
        <v>790</v>
      </c>
      <c r="D68" s="788"/>
      <c r="E68" s="785"/>
      <c r="F68" s="785"/>
      <c r="G68" s="785"/>
      <c r="H68" s="1618"/>
      <c r="I68" s="1618"/>
      <c r="J68" s="786">
        <v>0.02</v>
      </c>
      <c r="K68" s="35" t="str">
        <f t="shared" si="4"/>
        <v>    </v>
      </c>
      <c r="L68" s="787">
        <f t="shared" si="0"/>
        <v>0.02</v>
      </c>
      <c r="M68" s="765">
        <v>2011</v>
      </c>
      <c r="N68" s="765">
        <v>1</v>
      </c>
      <c r="O68" s="765">
        <v>1</v>
      </c>
      <c r="P68" s="765">
        <v>2011</v>
      </c>
      <c r="Q68" s="765">
        <v>12</v>
      </c>
      <c r="R68" s="765">
        <v>31</v>
      </c>
      <c r="U68" s="766" t="str">
        <f t="shared" si="1"/>
        <v>2011.1.1</v>
      </c>
      <c r="X68" s="766" t="str">
        <f t="shared" si="2"/>
        <v>2011.12.31</v>
      </c>
      <c r="Z68" s="766">
        <f t="shared" si="3"/>
        <v>365</v>
      </c>
    </row>
    <row r="69" spans="1:26" ht="12.75" hidden="1">
      <c r="A69" s="689">
        <v>69</v>
      </c>
      <c r="B69" s="784"/>
      <c r="C69" s="40" t="s">
        <v>791</v>
      </c>
      <c r="D69" s="788"/>
      <c r="E69" s="785"/>
      <c r="F69" s="785"/>
      <c r="G69" s="785"/>
      <c r="H69" s="1618"/>
      <c r="I69" s="1618"/>
      <c r="J69" s="786">
        <v>0.02</v>
      </c>
      <c r="K69" s="35" t="str">
        <f t="shared" si="4"/>
        <v>    </v>
      </c>
      <c r="L69" s="787">
        <f t="shared" si="0"/>
        <v>0.02</v>
      </c>
      <c r="M69" s="765">
        <v>2011</v>
      </c>
      <c r="N69" s="765">
        <v>1</v>
      </c>
      <c r="O69" s="765">
        <v>1</v>
      </c>
      <c r="P69" s="765">
        <v>2011</v>
      </c>
      <c r="Q69" s="765">
        <v>12</v>
      </c>
      <c r="R69" s="765">
        <v>31</v>
      </c>
      <c r="U69" s="766" t="str">
        <f t="shared" si="1"/>
        <v>2011.1.1</v>
      </c>
      <c r="X69" s="766" t="str">
        <f t="shared" si="2"/>
        <v>2011.12.31</v>
      </c>
      <c r="Z69" s="766">
        <f t="shared" si="3"/>
        <v>365</v>
      </c>
    </row>
    <row r="70" spans="1:26" ht="12.75" hidden="1">
      <c r="A70" s="689">
        <v>70</v>
      </c>
      <c r="B70" s="784"/>
      <c r="C70" s="40" t="s">
        <v>792</v>
      </c>
      <c r="D70" s="788"/>
      <c r="E70" s="785"/>
      <c r="F70" s="785"/>
      <c r="G70" s="785"/>
      <c r="H70" s="1618"/>
      <c r="I70" s="1618"/>
      <c r="J70" s="786">
        <v>0.02</v>
      </c>
      <c r="K70" s="35" t="str">
        <f t="shared" si="4"/>
        <v>    </v>
      </c>
      <c r="L70" s="787">
        <f t="shared" si="0"/>
        <v>0.02</v>
      </c>
      <c r="M70" s="765">
        <v>2011</v>
      </c>
      <c r="N70" s="765">
        <v>1</v>
      </c>
      <c r="O70" s="765">
        <v>1</v>
      </c>
      <c r="P70" s="765">
        <v>2011</v>
      </c>
      <c r="Q70" s="765">
        <v>12</v>
      </c>
      <c r="R70" s="765">
        <v>31</v>
      </c>
      <c r="U70" s="766" t="str">
        <f t="shared" si="1"/>
        <v>2011.1.1</v>
      </c>
      <c r="X70" s="766" t="str">
        <f t="shared" si="2"/>
        <v>2011.12.31</v>
      </c>
      <c r="Z70" s="766">
        <f t="shared" si="3"/>
        <v>365</v>
      </c>
    </row>
    <row r="71" spans="1:26" ht="12.75" hidden="1">
      <c r="A71" s="689">
        <v>71</v>
      </c>
      <c r="B71" s="784"/>
      <c r="C71" s="40" t="s">
        <v>793</v>
      </c>
      <c r="D71" s="788"/>
      <c r="E71" s="785"/>
      <c r="F71" s="785"/>
      <c r="G71" s="785"/>
      <c r="H71" s="1618"/>
      <c r="I71" s="1618"/>
      <c r="J71" s="786">
        <v>0.02</v>
      </c>
      <c r="K71" s="35" t="str">
        <f t="shared" si="4"/>
        <v>    </v>
      </c>
      <c r="L71" s="787">
        <f t="shared" si="0"/>
        <v>0.02</v>
      </c>
      <c r="M71" s="765">
        <v>2011</v>
      </c>
      <c r="N71" s="765">
        <v>1</v>
      </c>
      <c r="O71" s="765">
        <v>1</v>
      </c>
      <c r="P71" s="765">
        <v>2011</v>
      </c>
      <c r="Q71" s="765">
        <v>12</v>
      </c>
      <c r="R71" s="765">
        <v>31</v>
      </c>
      <c r="U71" s="766" t="str">
        <f t="shared" si="1"/>
        <v>2011.1.1</v>
      </c>
      <c r="X71" s="766" t="str">
        <f t="shared" si="2"/>
        <v>2011.12.31</v>
      </c>
      <c r="Z71" s="766">
        <f t="shared" si="3"/>
        <v>365</v>
      </c>
    </row>
    <row r="72" spans="1:26" ht="12.75" hidden="1">
      <c r="A72" s="689">
        <v>72</v>
      </c>
      <c r="B72" s="784"/>
      <c r="C72" s="40" t="s">
        <v>794</v>
      </c>
      <c r="D72" s="788"/>
      <c r="E72" s="785"/>
      <c r="F72" s="785"/>
      <c r="G72" s="785"/>
      <c r="H72" s="1618"/>
      <c r="I72" s="1618"/>
      <c r="J72" s="786">
        <v>0.02</v>
      </c>
      <c r="K72" s="35" t="str">
        <f t="shared" si="4"/>
        <v>    </v>
      </c>
      <c r="L72" s="787">
        <f t="shared" si="0"/>
        <v>0.02</v>
      </c>
      <c r="M72" s="765">
        <v>2011</v>
      </c>
      <c r="N72" s="765">
        <v>1</v>
      </c>
      <c r="O72" s="765">
        <v>1</v>
      </c>
      <c r="P72" s="765">
        <v>2011</v>
      </c>
      <c r="Q72" s="765">
        <v>12</v>
      </c>
      <c r="R72" s="765">
        <v>31</v>
      </c>
      <c r="U72" s="766" t="str">
        <f t="shared" si="1"/>
        <v>2011.1.1</v>
      </c>
      <c r="X72" s="766" t="str">
        <f t="shared" si="2"/>
        <v>2011.12.31</v>
      </c>
      <c r="Z72" s="766">
        <f t="shared" si="3"/>
        <v>365</v>
      </c>
    </row>
    <row r="73" spans="1:26" ht="12.75" hidden="1">
      <c r="A73" s="689">
        <v>73</v>
      </c>
      <c r="B73" s="784"/>
      <c r="C73" s="40" t="s">
        <v>795</v>
      </c>
      <c r="D73" s="788"/>
      <c r="E73" s="785"/>
      <c r="F73" s="785"/>
      <c r="G73" s="785"/>
      <c r="H73" s="1618"/>
      <c r="I73" s="1618"/>
      <c r="J73" s="786">
        <v>0.02</v>
      </c>
      <c r="K73" s="35" t="str">
        <f t="shared" si="4"/>
        <v>    </v>
      </c>
      <c r="L73" s="787">
        <f t="shared" si="0"/>
        <v>0.02</v>
      </c>
      <c r="M73" s="765">
        <v>2011</v>
      </c>
      <c r="N73" s="765">
        <v>1</v>
      </c>
      <c r="O73" s="765">
        <v>1</v>
      </c>
      <c r="P73" s="765">
        <v>2011</v>
      </c>
      <c r="Q73" s="765">
        <v>12</v>
      </c>
      <c r="R73" s="765">
        <v>31</v>
      </c>
      <c r="U73" s="766" t="str">
        <f t="shared" si="1"/>
        <v>2011.1.1</v>
      </c>
      <c r="X73" s="766" t="str">
        <f t="shared" si="2"/>
        <v>2011.12.31</v>
      </c>
      <c r="Z73" s="766">
        <f t="shared" si="3"/>
        <v>365</v>
      </c>
    </row>
    <row r="74" spans="1:26" ht="12.75" hidden="1">
      <c r="A74" s="689">
        <v>74</v>
      </c>
      <c r="B74" s="784"/>
      <c r="C74" s="40" t="s">
        <v>796</v>
      </c>
      <c r="D74" s="788"/>
      <c r="E74" s="785"/>
      <c r="F74" s="785"/>
      <c r="G74" s="785"/>
      <c r="H74" s="1618"/>
      <c r="I74" s="1618"/>
      <c r="J74" s="786">
        <v>0.02</v>
      </c>
      <c r="K74" s="35" t="str">
        <f t="shared" si="4"/>
        <v>    </v>
      </c>
      <c r="L74" s="787">
        <f t="shared" si="0"/>
        <v>0.02</v>
      </c>
      <c r="M74" s="765">
        <v>2011</v>
      </c>
      <c r="N74" s="765">
        <v>1</v>
      </c>
      <c r="O74" s="765">
        <v>1</v>
      </c>
      <c r="P74" s="765">
        <v>2011</v>
      </c>
      <c r="Q74" s="765">
        <v>12</v>
      </c>
      <c r="R74" s="765">
        <v>31</v>
      </c>
      <c r="U74" s="766" t="str">
        <f t="shared" si="1"/>
        <v>2011.1.1</v>
      </c>
      <c r="X74" s="766" t="str">
        <f t="shared" si="2"/>
        <v>2011.12.31</v>
      </c>
      <c r="Z74" s="766">
        <f t="shared" si="3"/>
        <v>365</v>
      </c>
    </row>
    <row r="75" spans="1:26" ht="12.75" hidden="1">
      <c r="A75" s="689">
        <v>75</v>
      </c>
      <c r="B75" s="784"/>
      <c r="C75" s="40" t="s">
        <v>797</v>
      </c>
      <c r="D75" s="788"/>
      <c r="E75" s="785"/>
      <c r="F75" s="785"/>
      <c r="G75" s="785"/>
      <c r="H75" s="1618"/>
      <c r="I75" s="1618"/>
      <c r="J75" s="786">
        <v>0.02</v>
      </c>
      <c r="K75" s="35" t="str">
        <f t="shared" si="4"/>
        <v>    </v>
      </c>
      <c r="L75" s="787">
        <f t="shared" si="0"/>
        <v>0.02</v>
      </c>
      <c r="M75" s="765">
        <v>2011</v>
      </c>
      <c r="N75" s="765">
        <v>1</v>
      </c>
      <c r="O75" s="765">
        <v>1</v>
      </c>
      <c r="P75" s="765">
        <v>2011</v>
      </c>
      <c r="Q75" s="765">
        <v>12</v>
      </c>
      <c r="R75" s="765">
        <v>31</v>
      </c>
      <c r="U75" s="766" t="str">
        <f t="shared" si="1"/>
        <v>2011.1.1</v>
      </c>
      <c r="X75" s="766" t="str">
        <f t="shared" si="2"/>
        <v>2011.12.31</v>
      </c>
      <c r="Z75" s="766">
        <f t="shared" si="3"/>
        <v>365</v>
      </c>
    </row>
    <row r="76" spans="1:26" ht="12.75" hidden="1">
      <c r="A76" s="689">
        <v>76</v>
      </c>
      <c r="B76" s="784"/>
      <c r="C76" s="40" t="s">
        <v>798</v>
      </c>
      <c r="D76" s="788"/>
      <c r="E76" s="785"/>
      <c r="F76" s="785"/>
      <c r="G76" s="785"/>
      <c r="H76" s="1618"/>
      <c r="I76" s="1618"/>
      <c r="J76" s="786">
        <v>0.02</v>
      </c>
      <c r="K76" s="35" t="str">
        <f t="shared" si="4"/>
        <v>    </v>
      </c>
      <c r="L76" s="787">
        <f t="shared" si="0"/>
        <v>0.02</v>
      </c>
      <c r="M76" s="765">
        <v>2011</v>
      </c>
      <c r="N76" s="765">
        <v>1</v>
      </c>
      <c r="O76" s="765">
        <v>1</v>
      </c>
      <c r="P76" s="765">
        <v>2011</v>
      </c>
      <c r="Q76" s="765">
        <v>12</v>
      </c>
      <c r="R76" s="765">
        <v>31</v>
      </c>
      <c r="U76" s="766" t="str">
        <f t="shared" si="1"/>
        <v>2011.1.1</v>
      </c>
      <c r="X76" s="766" t="str">
        <f t="shared" si="2"/>
        <v>2011.12.31</v>
      </c>
      <c r="Z76" s="766">
        <f t="shared" si="3"/>
        <v>365</v>
      </c>
    </row>
    <row r="77" spans="1:26" ht="12.75" hidden="1">
      <c r="A77" s="689">
        <v>77</v>
      </c>
      <c r="B77" s="784"/>
      <c r="C77" s="40" t="s">
        <v>799</v>
      </c>
      <c r="D77" s="788"/>
      <c r="E77" s="785"/>
      <c r="F77" s="785"/>
      <c r="G77" s="785"/>
      <c r="H77" s="1618"/>
      <c r="I77" s="1618"/>
      <c r="J77" s="786">
        <v>0.02</v>
      </c>
      <c r="K77" s="35" t="str">
        <f t="shared" si="4"/>
        <v>    </v>
      </c>
      <c r="L77" s="787">
        <f t="shared" si="0"/>
        <v>0.02</v>
      </c>
      <c r="M77" s="765">
        <v>2011</v>
      </c>
      <c r="N77" s="765">
        <v>1</v>
      </c>
      <c r="O77" s="765">
        <v>1</v>
      </c>
      <c r="P77" s="765">
        <v>2011</v>
      </c>
      <c r="Q77" s="765">
        <v>12</v>
      </c>
      <c r="R77" s="765">
        <v>31</v>
      </c>
      <c r="U77" s="766" t="str">
        <f t="shared" si="1"/>
        <v>2011.1.1</v>
      </c>
      <c r="X77" s="766" t="str">
        <f t="shared" si="2"/>
        <v>2011.12.31</v>
      </c>
      <c r="Z77" s="766">
        <f t="shared" si="3"/>
        <v>365</v>
      </c>
    </row>
    <row r="78" spans="1:26" ht="12.75" hidden="1">
      <c r="A78" s="689">
        <v>78</v>
      </c>
      <c r="B78" s="784"/>
      <c r="C78" s="40" t="s">
        <v>800</v>
      </c>
      <c r="D78" s="788"/>
      <c r="E78" s="785"/>
      <c r="F78" s="785"/>
      <c r="G78" s="785"/>
      <c r="H78" s="1618"/>
      <c r="I78" s="1618"/>
      <c r="J78" s="786">
        <v>0.02</v>
      </c>
      <c r="K78" s="35" t="str">
        <f t="shared" si="4"/>
        <v>    </v>
      </c>
      <c r="L78" s="787">
        <f t="shared" si="0"/>
        <v>0.02</v>
      </c>
      <c r="M78" s="765">
        <v>2011</v>
      </c>
      <c r="N78" s="765">
        <v>1</v>
      </c>
      <c r="O78" s="765">
        <v>1</v>
      </c>
      <c r="P78" s="765">
        <v>2011</v>
      </c>
      <c r="Q78" s="765">
        <v>12</v>
      </c>
      <c r="R78" s="765">
        <v>31</v>
      </c>
      <c r="U78" s="766" t="str">
        <f t="shared" si="1"/>
        <v>2011.1.1</v>
      </c>
      <c r="X78" s="766" t="str">
        <f t="shared" si="2"/>
        <v>2011.12.31</v>
      </c>
      <c r="Z78" s="766">
        <f t="shared" si="3"/>
        <v>365</v>
      </c>
    </row>
    <row r="79" spans="1:26" ht="12.75" hidden="1">
      <c r="A79" s="689">
        <v>79</v>
      </c>
      <c r="B79" s="784"/>
      <c r="C79" s="40" t="s">
        <v>801</v>
      </c>
      <c r="D79" s="788"/>
      <c r="E79" s="785"/>
      <c r="F79" s="785"/>
      <c r="G79" s="785"/>
      <c r="H79" s="1618"/>
      <c r="I79" s="1618"/>
      <c r="J79" s="786">
        <v>0.02</v>
      </c>
      <c r="K79" s="35" t="str">
        <f t="shared" si="4"/>
        <v>    </v>
      </c>
      <c r="L79" s="787">
        <f t="shared" si="0"/>
        <v>0.02</v>
      </c>
      <c r="M79" s="765">
        <v>2011</v>
      </c>
      <c r="N79" s="765">
        <v>1</v>
      </c>
      <c r="O79" s="765">
        <v>1</v>
      </c>
      <c r="P79" s="765">
        <v>2011</v>
      </c>
      <c r="Q79" s="765">
        <v>12</v>
      </c>
      <c r="R79" s="765">
        <v>31</v>
      </c>
      <c r="U79" s="766" t="str">
        <f t="shared" si="1"/>
        <v>2011.1.1</v>
      </c>
      <c r="X79" s="766" t="str">
        <f t="shared" si="2"/>
        <v>2011.12.31</v>
      </c>
      <c r="Z79" s="766">
        <f t="shared" si="3"/>
        <v>365</v>
      </c>
    </row>
    <row r="80" spans="1:26" ht="12.75" hidden="1">
      <c r="A80" s="689">
        <v>80</v>
      </c>
      <c r="B80" s="784"/>
      <c r="C80" s="40" t="s">
        <v>802</v>
      </c>
      <c r="D80" s="788"/>
      <c r="E80" s="785"/>
      <c r="F80" s="785"/>
      <c r="G80" s="785"/>
      <c r="H80" s="1618"/>
      <c r="I80" s="1618"/>
      <c r="J80" s="786">
        <v>0.02</v>
      </c>
      <c r="K80" s="35" t="str">
        <f t="shared" si="4"/>
        <v>    </v>
      </c>
      <c r="L80" s="787">
        <f t="shared" si="0"/>
        <v>0.02</v>
      </c>
      <c r="M80" s="765">
        <v>2011</v>
      </c>
      <c r="N80" s="765">
        <v>1</v>
      </c>
      <c r="O80" s="765">
        <v>1</v>
      </c>
      <c r="P80" s="765">
        <v>2011</v>
      </c>
      <c r="Q80" s="765">
        <v>12</v>
      </c>
      <c r="R80" s="765">
        <v>31</v>
      </c>
      <c r="U80" s="766" t="str">
        <f t="shared" si="1"/>
        <v>2011.1.1</v>
      </c>
      <c r="X80" s="766" t="str">
        <f t="shared" si="2"/>
        <v>2011.12.31</v>
      </c>
      <c r="Z80" s="766">
        <f t="shared" si="3"/>
        <v>365</v>
      </c>
    </row>
    <row r="81" spans="1:26" ht="12.75" hidden="1">
      <c r="A81" s="689">
        <v>81</v>
      </c>
      <c r="B81" s="784"/>
      <c r="C81" s="40" t="s">
        <v>803</v>
      </c>
      <c r="D81" s="788"/>
      <c r="E81" s="785"/>
      <c r="F81" s="785"/>
      <c r="G81" s="785"/>
      <c r="H81" s="1618"/>
      <c r="I81" s="1618"/>
      <c r="J81" s="786">
        <v>0.02</v>
      </c>
      <c r="K81" s="35" t="str">
        <f t="shared" si="4"/>
        <v>    </v>
      </c>
      <c r="L81" s="787">
        <f t="shared" si="0"/>
        <v>0.02</v>
      </c>
      <c r="M81" s="765">
        <v>2011</v>
      </c>
      <c r="N81" s="765">
        <v>1</v>
      </c>
      <c r="O81" s="765">
        <v>1</v>
      </c>
      <c r="P81" s="765">
        <v>2011</v>
      </c>
      <c r="Q81" s="765">
        <v>12</v>
      </c>
      <c r="R81" s="765">
        <v>31</v>
      </c>
      <c r="U81" s="766" t="str">
        <f t="shared" si="1"/>
        <v>2011.1.1</v>
      </c>
      <c r="X81" s="766" t="str">
        <f t="shared" si="2"/>
        <v>2011.12.31</v>
      </c>
      <c r="Z81" s="766">
        <f t="shared" si="3"/>
        <v>365</v>
      </c>
    </row>
    <row r="82" spans="1:26" ht="12.75" hidden="1">
      <c r="A82" s="689">
        <v>82</v>
      </c>
      <c r="B82" s="784"/>
      <c r="C82" s="40" t="s">
        <v>804</v>
      </c>
      <c r="D82" s="788"/>
      <c r="E82" s="785"/>
      <c r="F82" s="785"/>
      <c r="G82" s="785"/>
      <c r="H82" s="1618"/>
      <c r="I82" s="1618"/>
      <c r="J82" s="786">
        <v>0.02</v>
      </c>
      <c r="K82" s="35" t="str">
        <f t="shared" si="4"/>
        <v>    </v>
      </c>
      <c r="L82" s="787">
        <f t="shared" si="0"/>
        <v>0.02</v>
      </c>
      <c r="M82" s="765">
        <v>2011</v>
      </c>
      <c r="N82" s="765">
        <v>1</v>
      </c>
      <c r="O82" s="765">
        <v>1</v>
      </c>
      <c r="P82" s="765">
        <v>2011</v>
      </c>
      <c r="Q82" s="765">
        <v>12</v>
      </c>
      <c r="R82" s="765">
        <v>31</v>
      </c>
      <c r="U82" s="766" t="str">
        <f t="shared" si="1"/>
        <v>2011.1.1</v>
      </c>
      <c r="X82" s="766" t="str">
        <f t="shared" si="2"/>
        <v>2011.12.31</v>
      </c>
      <c r="Z82" s="766">
        <f t="shared" si="3"/>
        <v>365</v>
      </c>
    </row>
    <row r="83" spans="1:26" ht="12.75" hidden="1">
      <c r="A83" s="689">
        <v>83</v>
      </c>
      <c r="B83" s="784"/>
      <c r="C83" s="40" t="s">
        <v>805</v>
      </c>
      <c r="D83" s="788"/>
      <c r="E83" s="785"/>
      <c r="F83" s="785"/>
      <c r="G83" s="785"/>
      <c r="H83" s="1618"/>
      <c r="I83" s="1618"/>
      <c r="J83" s="786">
        <v>0.02</v>
      </c>
      <c r="K83" s="35" t="str">
        <f t="shared" si="4"/>
        <v>    </v>
      </c>
      <c r="L83" s="787">
        <f t="shared" si="0"/>
        <v>0.02</v>
      </c>
      <c r="M83" s="765">
        <v>2011</v>
      </c>
      <c r="N83" s="765">
        <v>1</v>
      </c>
      <c r="O83" s="765">
        <v>1</v>
      </c>
      <c r="P83" s="765">
        <v>2011</v>
      </c>
      <c r="Q83" s="765">
        <v>12</v>
      </c>
      <c r="R83" s="765">
        <v>31</v>
      </c>
      <c r="U83" s="766" t="str">
        <f t="shared" si="1"/>
        <v>2011.1.1</v>
      </c>
      <c r="X83" s="766" t="str">
        <f t="shared" si="2"/>
        <v>2011.12.31</v>
      </c>
      <c r="Z83" s="766">
        <f t="shared" si="3"/>
        <v>365</v>
      </c>
    </row>
    <row r="84" spans="1:26" ht="12.75" hidden="1">
      <c r="A84" s="689">
        <v>84</v>
      </c>
      <c r="B84" s="784"/>
      <c r="C84" s="40" t="s">
        <v>806</v>
      </c>
      <c r="D84" s="788"/>
      <c r="E84" s="785"/>
      <c r="F84" s="785"/>
      <c r="G84" s="785"/>
      <c r="H84" s="1618"/>
      <c r="I84" s="1618"/>
      <c r="J84" s="786">
        <v>0.02</v>
      </c>
      <c r="K84" s="35" t="str">
        <f t="shared" si="4"/>
        <v>    </v>
      </c>
      <c r="L84" s="787">
        <f t="shared" si="0"/>
        <v>0.02</v>
      </c>
      <c r="M84" s="765">
        <v>2011</v>
      </c>
      <c r="N84" s="765">
        <v>1</v>
      </c>
      <c r="O84" s="765">
        <v>1</v>
      </c>
      <c r="P84" s="765">
        <v>2011</v>
      </c>
      <c r="Q84" s="765">
        <v>12</v>
      </c>
      <c r="R84" s="765">
        <v>31</v>
      </c>
      <c r="U84" s="766" t="str">
        <f t="shared" si="1"/>
        <v>2011.1.1</v>
      </c>
      <c r="X84" s="766" t="str">
        <f t="shared" si="2"/>
        <v>2011.12.31</v>
      </c>
      <c r="Z84" s="766">
        <f t="shared" si="3"/>
        <v>365</v>
      </c>
    </row>
    <row r="85" spans="1:26" ht="12.75" hidden="1">
      <c r="A85" s="689">
        <v>85</v>
      </c>
      <c r="B85" s="784"/>
      <c r="C85" s="40" t="s">
        <v>807</v>
      </c>
      <c r="D85" s="788"/>
      <c r="E85" s="785"/>
      <c r="F85" s="785"/>
      <c r="G85" s="785"/>
      <c r="H85" s="1618"/>
      <c r="I85" s="1618"/>
      <c r="J85" s="786">
        <v>0.02</v>
      </c>
      <c r="K85" s="35" t="str">
        <f t="shared" si="4"/>
        <v>    </v>
      </c>
      <c r="L85" s="787">
        <f t="shared" si="0"/>
        <v>0.02</v>
      </c>
      <c r="M85" s="765">
        <v>2011</v>
      </c>
      <c r="N85" s="765">
        <v>1</v>
      </c>
      <c r="O85" s="765">
        <v>1</v>
      </c>
      <c r="P85" s="765">
        <v>2011</v>
      </c>
      <c r="Q85" s="765">
        <v>12</v>
      </c>
      <c r="R85" s="765">
        <v>31</v>
      </c>
      <c r="U85" s="766" t="str">
        <f t="shared" si="1"/>
        <v>2011.1.1</v>
      </c>
      <c r="X85" s="766" t="str">
        <f t="shared" si="2"/>
        <v>2011.12.31</v>
      </c>
      <c r="Z85" s="766">
        <f t="shared" si="3"/>
        <v>365</v>
      </c>
    </row>
    <row r="86" spans="1:26" ht="12.75" hidden="1">
      <c r="A86" s="689">
        <v>86</v>
      </c>
      <c r="B86" s="784"/>
      <c r="C86" s="40" t="s">
        <v>808</v>
      </c>
      <c r="D86" s="788"/>
      <c r="E86" s="785"/>
      <c r="F86" s="785"/>
      <c r="G86" s="785"/>
      <c r="H86" s="1618"/>
      <c r="I86" s="1618"/>
      <c r="J86" s="786">
        <v>0.02</v>
      </c>
      <c r="K86" s="35" t="str">
        <f t="shared" si="4"/>
        <v>    </v>
      </c>
      <c r="L86" s="787">
        <f t="shared" si="0"/>
        <v>0.02</v>
      </c>
      <c r="M86" s="765">
        <v>2011</v>
      </c>
      <c r="N86" s="765">
        <v>1</v>
      </c>
      <c r="O86" s="765">
        <v>1</v>
      </c>
      <c r="P86" s="765">
        <v>2011</v>
      </c>
      <c r="Q86" s="765">
        <v>12</v>
      </c>
      <c r="R86" s="765">
        <v>31</v>
      </c>
      <c r="U86" s="766" t="str">
        <f t="shared" si="1"/>
        <v>2011.1.1</v>
      </c>
      <c r="X86" s="766" t="str">
        <f t="shared" si="2"/>
        <v>2011.12.31</v>
      </c>
      <c r="Z86" s="766">
        <f t="shared" si="3"/>
        <v>365</v>
      </c>
    </row>
    <row r="87" spans="1:26" ht="12.75" hidden="1">
      <c r="A87" s="689">
        <v>87</v>
      </c>
      <c r="B87" s="784"/>
      <c r="C87" s="40" t="s">
        <v>809</v>
      </c>
      <c r="D87" s="788"/>
      <c r="E87" s="785"/>
      <c r="F87" s="785"/>
      <c r="G87" s="785"/>
      <c r="H87" s="1618"/>
      <c r="I87" s="1618"/>
      <c r="J87" s="786">
        <v>0.02</v>
      </c>
      <c r="K87" s="35" t="str">
        <f t="shared" si="4"/>
        <v>    </v>
      </c>
      <c r="L87" s="787">
        <f t="shared" si="0"/>
        <v>0.02</v>
      </c>
      <c r="M87" s="765">
        <v>2011</v>
      </c>
      <c r="N87" s="765">
        <v>1</v>
      </c>
      <c r="O87" s="765">
        <v>1</v>
      </c>
      <c r="P87" s="765">
        <v>2011</v>
      </c>
      <c r="Q87" s="765">
        <v>12</v>
      </c>
      <c r="R87" s="765">
        <v>31</v>
      </c>
      <c r="U87" s="766" t="str">
        <f t="shared" si="1"/>
        <v>2011.1.1</v>
      </c>
      <c r="X87" s="766" t="str">
        <f t="shared" si="2"/>
        <v>2011.12.31</v>
      </c>
      <c r="Z87" s="766">
        <f t="shared" si="3"/>
        <v>365</v>
      </c>
    </row>
    <row r="88" spans="1:26" ht="12.75" hidden="1">
      <c r="A88" s="689">
        <v>88</v>
      </c>
      <c r="B88" s="784"/>
      <c r="C88" s="40" t="s">
        <v>810</v>
      </c>
      <c r="D88" s="788"/>
      <c r="E88" s="785"/>
      <c r="F88" s="785"/>
      <c r="G88" s="785"/>
      <c r="H88" s="1618"/>
      <c r="I88" s="1618"/>
      <c r="J88" s="786">
        <v>0.02</v>
      </c>
      <c r="K88" s="35" t="str">
        <f t="shared" si="4"/>
        <v>    </v>
      </c>
      <c r="L88" s="787">
        <f t="shared" si="0"/>
        <v>0.02</v>
      </c>
      <c r="M88" s="765">
        <v>2011</v>
      </c>
      <c r="N88" s="765">
        <v>1</v>
      </c>
      <c r="O88" s="765">
        <v>1</v>
      </c>
      <c r="P88" s="765">
        <v>2011</v>
      </c>
      <c r="Q88" s="765">
        <v>12</v>
      </c>
      <c r="R88" s="765">
        <v>31</v>
      </c>
      <c r="U88" s="766" t="str">
        <f t="shared" si="1"/>
        <v>2011.1.1</v>
      </c>
      <c r="X88" s="766" t="str">
        <f t="shared" si="2"/>
        <v>2011.12.31</v>
      </c>
      <c r="Z88" s="766">
        <f t="shared" si="3"/>
        <v>365</v>
      </c>
    </row>
    <row r="89" spans="1:26" ht="12.75" hidden="1">
      <c r="A89" s="689">
        <v>89</v>
      </c>
      <c r="B89" s="784"/>
      <c r="C89" s="40" t="s">
        <v>811</v>
      </c>
      <c r="D89" s="788"/>
      <c r="E89" s="785"/>
      <c r="F89" s="785"/>
      <c r="G89" s="785"/>
      <c r="H89" s="1618"/>
      <c r="I89" s="1618"/>
      <c r="J89" s="786">
        <v>0.02</v>
      </c>
      <c r="K89" s="35" t="str">
        <f t="shared" si="4"/>
        <v>    </v>
      </c>
      <c r="L89" s="787">
        <f t="shared" si="0"/>
        <v>0.02</v>
      </c>
      <c r="M89" s="765">
        <v>2011</v>
      </c>
      <c r="N89" s="765">
        <v>1</v>
      </c>
      <c r="O89" s="765">
        <v>1</v>
      </c>
      <c r="P89" s="765">
        <v>2011</v>
      </c>
      <c r="Q89" s="765">
        <v>12</v>
      </c>
      <c r="R89" s="765">
        <v>31</v>
      </c>
      <c r="U89" s="766" t="str">
        <f t="shared" si="1"/>
        <v>2011.1.1</v>
      </c>
      <c r="X89" s="766" t="str">
        <f t="shared" si="2"/>
        <v>2011.12.31</v>
      </c>
      <c r="Z89" s="766">
        <f t="shared" si="3"/>
        <v>365</v>
      </c>
    </row>
    <row r="90" spans="1:26" ht="12.75" hidden="1">
      <c r="A90" s="689">
        <v>90</v>
      </c>
      <c r="B90" s="784"/>
      <c r="C90" s="40" t="s">
        <v>812</v>
      </c>
      <c r="D90" s="788"/>
      <c r="E90" s="785"/>
      <c r="F90" s="785"/>
      <c r="G90" s="785"/>
      <c r="H90" s="1618"/>
      <c r="I90" s="1618"/>
      <c r="J90" s="786">
        <v>0.02</v>
      </c>
      <c r="K90" s="35" t="str">
        <f t="shared" si="4"/>
        <v>    </v>
      </c>
      <c r="L90" s="787">
        <f t="shared" si="0"/>
        <v>0.02</v>
      </c>
      <c r="M90" s="765">
        <v>2011</v>
      </c>
      <c r="N90" s="765">
        <v>1</v>
      </c>
      <c r="O90" s="765">
        <v>1</v>
      </c>
      <c r="P90" s="765">
        <v>2011</v>
      </c>
      <c r="Q90" s="765">
        <v>12</v>
      </c>
      <c r="R90" s="765">
        <v>31</v>
      </c>
      <c r="U90" s="766" t="str">
        <f t="shared" si="1"/>
        <v>2011.1.1</v>
      </c>
      <c r="X90" s="766" t="str">
        <f t="shared" si="2"/>
        <v>2011.12.31</v>
      </c>
      <c r="Z90" s="766">
        <f t="shared" si="3"/>
        <v>365</v>
      </c>
    </row>
    <row r="91" spans="1:26" ht="12.75" hidden="1">
      <c r="A91" s="689">
        <v>91</v>
      </c>
      <c r="B91" s="784"/>
      <c r="C91" s="40" t="s">
        <v>813</v>
      </c>
      <c r="D91" s="788"/>
      <c r="E91" s="785"/>
      <c r="F91" s="785"/>
      <c r="G91" s="785"/>
      <c r="H91" s="1618"/>
      <c r="I91" s="1618"/>
      <c r="J91" s="786">
        <v>0.02</v>
      </c>
      <c r="K91" s="35" t="str">
        <f t="shared" si="4"/>
        <v>    </v>
      </c>
      <c r="L91" s="787">
        <f aca="true" t="shared" si="5" ref="L91:L146">J91</f>
        <v>0.02</v>
      </c>
      <c r="M91" s="765">
        <v>2011</v>
      </c>
      <c r="N91" s="765">
        <v>1</v>
      </c>
      <c r="O91" s="765">
        <v>1</v>
      </c>
      <c r="P91" s="765">
        <v>2011</v>
      </c>
      <c r="Q91" s="765">
        <v>12</v>
      </c>
      <c r="R91" s="765">
        <v>31</v>
      </c>
      <c r="U91" s="766" t="str">
        <f aca="true" t="shared" si="6" ref="U91:U146">CONCATENATE(M91,".",N91,".",O91)</f>
        <v>2011.1.1</v>
      </c>
      <c r="X91" s="766" t="str">
        <f aca="true" t="shared" si="7" ref="X91:X146">CONCATENATE(P91,".",Q91,".",R91)</f>
        <v>2011.12.31</v>
      </c>
      <c r="Z91" s="766">
        <f aca="true" t="shared" si="8" ref="Z91:Z146">IF(X91="2011.12.31",X91-U91+1,0)</f>
        <v>365</v>
      </c>
    </row>
    <row r="92" spans="1:26" ht="12.75" hidden="1">
      <c r="A92" s="689">
        <v>92</v>
      </c>
      <c r="B92" s="784"/>
      <c r="C92" s="40" t="s">
        <v>814</v>
      </c>
      <c r="D92" s="788"/>
      <c r="E92" s="785"/>
      <c r="F92" s="785"/>
      <c r="G92" s="785"/>
      <c r="H92" s="1618"/>
      <c r="I92" s="1618"/>
      <c r="J92" s="786">
        <v>0.02</v>
      </c>
      <c r="K92" s="35" t="str">
        <f aca="true" t="shared" si="9" ref="K92:K146">CONCATENATE(D92," ",E92," ",F92," ",G92," ",H92)</f>
        <v>    </v>
      </c>
      <c r="L92" s="787">
        <f t="shared" si="5"/>
        <v>0.02</v>
      </c>
      <c r="M92" s="765">
        <v>2011</v>
      </c>
      <c r="N92" s="765">
        <v>1</v>
      </c>
      <c r="O92" s="765">
        <v>1</v>
      </c>
      <c r="P92" s="765">
        <v>2011</v>
      </c>
      <c r="Q92" s="765">
        <v>12</v>
      </c>
      <c r="R92" s="765">
        <v>31</v>
      </c>
      <c r="U92" s="766" t="str">
        <f t="shared" si="6"/>
        <v>2011.1.1</v>
      </c>
      <c r="X92" s="766" t="str">
        <f t="shared" si="7"/>
        <v>2011.12.31</v>
      </c>
      <c r="Z92" s="766">
        <f t="shared" si="8"/>
        <v>365</v>
      </c>
    </row>
    <row r="93" spans="1:26" ht="12.75" hidden="1">
      <c r="A93" s="689">
        <v>93</v>
      </c>
      <c r="B93" s="784"/>
      <c r="C93" s="40" t="s">
        <v>818</v>
      </c>
      <c r="D93" s="788"/>
      <c r="E93" s="785"/>
      <c r="F93" s="785"/>
      <c r="G93" s="785"/>
      <c r="H93" s="1618"/>
      <c r="I93" s="1618"/>
      <c r="J93" s="786">
        <v>0.02</v>
      </c>
      <c r="K93" s="35" t="str">
        <f t="shared" si="9"/>
        <v>    </v>
      </c>
      <c r="L93" s="787">
        <f t="shared" si="5"/>
        <v>0.02</v>
      </c>
      <c r="M93" s="765">
        <v>2011</v>
      </c>
      <c r="N93" s="765">
        <v>1</v>
      </c>
      <c r="O93" s="765">
        <v>1</v>
      </c>
      <c r="P93" s="765">
        <v>2011</v>
      </c>
      <c r="Q93" s="765">
        <v>12</v>
      </c>
      <c r="R93" s="765">
        <v>31</v>
      </c>
      <c r="U93" s="766" t="str">
        <f t="shared" si="6"/>
        <v>2011.1.1</v>
      </c>
      <c r="X93" s="766" t="str">
        <f t="shared" si="7"/>
        <v>2011.12.31</v>
      </c>
      <c r="Z93" s="766">
        <f t="shared" si="8"/>
        <v>365</v>
      </c>
    </row>
    <row r="94" spans="1:26" ht="12.75" hidden="1">
      <c r="A94" s="689">
        <v>94</v>
      </c>
      <c r="B94" s="784"/>
      <c r="C94" s="40" t="s">
        <v>819</v>
      </c>
      <c r="D94" s="788"/>
      <c r="E94" s="785"/>
      <c r="F94" s="785"/>
      <c r="G94" s="785"/>
      <c r="H94" s="1618"/>
      <c r="I94" s="1618"/>
      <c r="J94" s="786">
        <v>0.02</v>
      </c>
      <c r="K94" s="35" t="str">
        <f t="shared" si="9"/>
        <v>    </v>
      </c>
      <c r="L94" s="787">
        <f t="shared" si="5"/>
        <v>0.02</v>
      </c>
      <c r="M94" s="765">
        <v>2011</v>
      </c>
      <c r="N94" s="765">
        <v>1</v>
      </c>
      <c r="O94" s="765">
        <v>1</v>
      </c>
      <c r="P94" s="765">
        <v>2011</v>
      </c>
      <c r="Q94" s="765">
        <v>12</v>
      </c>
      <c r="R94" s="765">
        <v>31</v>
      </c>
      <c r="U94" s="766" t="str">
        <f t="shared" si="6"/>
        <v>2011.1.1</v>
      </c>
      <c r="X94" s="766" t="str">
        <f t="shared" si="7"/>
        <v>2011.12.31</v>
      </c>
      <c r="Z94" s="766">
        <f t="shared" si="8"/>
        <v>365</v>
      </c>
    </row>
    <row r="95" spans="1:26" ht="12.75" hidden="1">
      <c r="A95" s="689">
        <v>95</v>
      </c>
      <c r="B95" s="784"/>
      <c r="C95" s="40" t="s">
        <v>820</v>
      </c>
      <c r="D95" s="788"/>
      <c r="E95" s="785"/>
      <c r="F95" s="785"/>
      <c r="G95" s="785"/>
      <c r="H95" s="1618"/>
      <c r="I95" s="1618"/>
      <c r="J95" s="786">
        <v>0.02</v>
      </c>
      <c r="K95" s="35" t="str">
        <f t="shared" si="9"/>
        <v>    </v>
      </c>
      <c r="L95" s="787">
        <f t="shared" si="5"/>
        <v>0.02</v>
      </c>
      <c r="M95" s="765">
        <v>2011</v>
      </c>
      <c r="N95" s="765">
        <v>1</v>
      </c>
      <c r="O95" s="765">
        <v>1</v>
      </c>
      <c r="P95" s="765">
        <v>2011</v>
      </c>
      <c r="Q95" s="765">
        <v>12</v>
      </c>
      <c r="R95" s="765">
        <v>31</v>
      </c>
      <c r="U95" s="766" t="str">
        <f t="shared" si="6"/>
        <v>2011.1.1</v>
      </c>
      <c r="X95" s="766" t="str">
        <f t="shared" si="7"/>
        <v>2011.12.31</v>
      </c>
      <c r="Z95" s="766">
        <f t="shared" si="8"/>
        <v>365</v>
      </c>
    </row>
    <row r="96" spans="1:26" ht="12.75" hidden="1">
      <c r="A96" s="689">
        <v>96</v>
      </c>
      <c r="B96" s="784"/>
      <c r="C96" s="40" t="s">
        <v>821</v>
      </c>
      <c r="D96" s="788"/>
      <c r="E96" s="785"/>
      <c r="F96" s="788"/>
      <c r="G96" s="785"/>
      <c r="H96" s="1618"/>
      <c r="I96" s="1618"/>
      <c r="J96" s="786">
        <v>0.02</v>
      </c>
      <c r="K96" s="35" t="str">
        <f t="shared" si="9"/>
        <v>    </v>
      </c>
      <c r="L96" s="787">
        <f t="shared" si="5"/>
        <v>0.02</v>
      </c>
      <c r="M96" s="765">
        <v>2011</v>
      </c>
      <c r="N96" s="765">
        <v>1</v>
      </c>
      <c r="O96" s="765">
        <v>1</v>
      </c>
      <c r="P96" s="765">
        <v>2011</v>
      </c>
      <c r="Q96" s="765">
        <v>12</v>
      </c>
      <c r="R96" s="765">
        <v>31</v>
      </c>
      <c r="U96" s="766" t="str">
        <f t="shared" si="6"/>
        <v>2011.1.1</v>
      </c>
      <c r="X96" s="766" t="str">
        <f t="shared" si="7"/>
        <v>2011.12.31</v>
      </c>
      <c r="Z96" s="766">
        <f t="shared" si="8"/>
        <v>365</v>
      </c>
    </row>
    <row r="97" spans="1:26" ht="12.75" hidden="1">
      <c r="A97" s="689">
        <v>97</v>
      </c>
      <c r="B97" s="784"/>
      <c r="C97" s="40" t="s">
        <v>822</v>
      </c>
      <c r="D97" s="788"/>
      <c r="E97" s="785"/>
      <c r="F97" s="785"/>
      <c r="G97" s="785"/>
      <c r="H97" s="1618"/>
      <c r="I97" s="1618"/>
      <c r="J97" s="786">
        <v>0.02</v>
      </c>
      <c r="K97" s="35" t="str">
        <f t="shared" si="9"/>
        <v>    </v>
      </c>
      <c r="L97" s="787">
        <f t="shared" si="5"/>
        <v>0.02</v>
      </c>
      <c r="M97" s="765">
        <v>2011</v>
      </c>
      <c r="N97" s="765">
        <v>1</v>
      </c>
      <c r="O97" s="765">
        <v>1</v>
      </c>
      <c r="P97" s="765">
        <v>2011</v>
      </c>
      <c r="Q97" s="765">
        <v>12</v>
      </c>
      <c r="R97" s="765">
        <v>31</v>
      </c>
      <c r="U97" s="766" t="str">
        <f t="shared" si="6"/>
        <v>2011.1.1</v>
      </c>
      <c r="X97" s="766" t="str">
        <f t="shared" si="7"/>
        <v>2011.12.31</v>
      </c>
      <c r="Z97" s="766">
        <f t="shared" si="8"/>
        <v>365</v>
      </c>
    </row>
    <row r="98" spans="1:26" ht="12.75" hidden="1">
      <c r="A98" s="689">
        <v>98</v>
      </c>
      <c r="B98" s="784"/>
      <c r="C98" s="40" t="s">
        <v>852</v>
      </c>
      <c r="D98" s="788"/>
      <c r="E98" s="785"/>
      <c r="F98" s="785"/>
      <c r="G98" s="785"/>
      <c r="H98" s="1618"/>
      <c r="I98" s="1618"/>
      <c r="J98" s="786">
        <v>0.02</v>
      </c>
      <c r="K98" s="35" t="str">
        <f t="shared" si="9"/>
        <v>    </v>
      </c>
      <c r="L98" s="787">
        <f t="shared" si="5"/>
        <v>0.02</v>
      </c>
      <c r="M98" s="765">
        <v>2011</v>
      </c>
      <c r="N98" s="765">
        <v>1</v>
      </c>
      <c r="O98" s="765">
        <v>1</v>
      </c>
      <c r="P98" s="765">
        <v>2011</v>
      </c>
      <c r="Q98" s="765">
        <v>12</v>
      </c>
      <c r="R98" s="765">
        <v>31</v>
      </c>
      <c r="U98" s="766" t="str">
        <f t="shared" si="6"/>
        <v>2011.1.1</v>
      </c>
      <c r="X98" s="766" t="str">
        <f t="shared" si="7"/>
        <v>2011.12.31</v>
      </c>
      <c r="Z98" s="766">
        <f t="shared" si="8"/>
        <v>365</v>
      </c>
    </row>
    <row r="99" spans="1:26" ht="12.75" hidden="1">
      <c r="A99" s="689">
        <v>99</v>
      </c>
      <c r="B99" s="784"/>
      <c r="C99" s="40" t="s">
        <v>853</v>
      </c>
      <c r="D99" s="788"/>
      <c r="E99" s="785"/>
      <c r="F99" s="788"/>
      <c r="G99" s="785"/>
      <c r="H99" s="1618"/>
      <c r="I99" s="1618"/>
      <c r="J99" s="786">
        <v>0.02</v>
      </c>
      <c r="K99" s="35" t="str">
        <f t="shared" si="9"/>
        <v>    </v>
      </c>
      <c r="L99" s="787">
        <f t="shared" si="5"/>
        <v>0.02</v>
      </c>
      <c r="M99" s="765">
        <v>2011</v>
      </c>
      <c r="N99" s="765">
        <v>1</v>
      </c>
      <c r="O99" s="765">
        <v>1</v>
      </c>
      <c r="P99" s="765">
        <v>2011</v>
      </c>
      <c r="Q99" s="765">
        <v>12</v>
      </c>
      <c r="R99" s="765">
        <v>31</v>
      </c>
      <c r="U99" s="766" t="str">
        <f t="shared" si="6"/>
        <v>2011.1.1</v>
      </c>
      <c r="X99" s="766" t="str">
        <f t="shared" si="7"/>
        <v>2011.12.31</v>
      </c>
      <c r="Z99" s="766">
        <f t="shared" si="8"/>
        <v>365</v>
      </c>
    </row>
    <row r="100" spans="1:26" ht="12.75" hidden="1">
      <c r="A100" s="689">
        <v>100</v>
      </c>
      <c r="B100" s="784"/>
      <c r="C100" s="40" t="s">
        <v>854</v>
      </c>
      <c r="D100" s="788"/>
      <c r="E100" s="785"/>
      <c r="F100" s="785"/>
      <c r="G100" s="785"/>
      <c r="H100" s="1618"/>
      <c r="I100" s="1618"/>
      <c r="J100" s="786">
        <v>0.02</v>
      </c>
      <c r="K100" s="35" t="str">
        <f t="shared" si="9"/>
        <v>    </v>
      </c>
      <c r="L100" s="787">
        <f t="shared" si="5"/>
        <v>0.02</v>
      </c>
      <c r="M100" s="765">
        <v>2011</v>
      </c>
      <c r="N100" s="765">
        <v>1</v>
      </c>
      <c r="O100" s="765">
        <v>1</v>
      </c>
      <c r="P100" s="765">
        <v>2011</v>
      </c>
      <c r="Q100" s="765">
        <v>12</v>
      </c>
      <c r="R100" s="765">
        <v>31</v>
      </c>
      <c r="U100" s="766" t="str">
        <f t="shared" si="6"/>
        <v>2011.1.1</v>
      </c>
      <c r="X100" s="766" t="str">
        <f t="shared" si="7"/>
        <v>2011.12.31</v>
      </c>
      <c r="Z100" s="766">
        <f t="shared" si="8"/>
        <v>365</v>
      </c>
    </row>
    <row r="101" spans="1:26" ht="12.75" hidden="1">
      <c r="A101" s="689">
        <v>101</v>
      </c>
      <c r="B101" s="784"/>
      <c r="C101" s="40" t="s">
        <v>855</v>
      </c>
      <c r="D101" s="788"/>
      <c r="E101" s="785"/>
      <c r="F101" s="785"/>
      <c r="G101" s="785"/>
      <c r="H101" s="1618"/>
      <c r="I101" s="1618"/>
      <c r="J101" s="786">
        <v>0.02</v>
      </c>
      <c r="K101" s="35" t="str">
        <f t="shared" si="9"/>
        <v>    </v>
      </c>
      <c r="L101" s="787">
        <f t="shared" si="5"/>
        <v>0.02</v>
      </c>
      <c r="M101" s="765">
        <v>2011</v>
      </c>
      <c r="N101" s="765">
        <v>1</v>
      </c>
      <c r="O101" s="765">
        <v>1</v>
      </c>
      <c r="P101" s="765">
        <v>2011</v>
      </c>
      <c r="Q101" s="765">
        <v>12</v>
      </c>
      <c r="R101" s="765">
        <v>31</v>
      </c>
      <c r="U101" s="766" t="str">
        <f t="shared" si="6"/>
        <v>2011.1.1</v>
      </c>
      <c r="X101" s="766" t="str">
        <f t="shared" si="7"/>
        <v>2011.12.31</v>
      </c>
      <c r="Z101" s="766">
        <f t="shared" si="8"/>
        <v>365</v>
      </c>
    </row>
    <row r="102" spans="1:26" ht="12.75" hidden="1">
      <c r="A102" s="689">
        <v>102</v>
      </c>
      <c r="B102" s="784"/>
      <c r="C102" s="40" t="s">
        <v>856</v>
      </c>
      <c r="D102" s="788"/>
      <c r="E102" s="785"/>
      <c r="F102" s="788"/>
      <c r="G102" s="785"/>
      <c r="H102" s="1618"/>
      <c r="I102" s="1618"/>
      <c r="J102" s="786">
        <v>0.02</v>
      </c>
      <c r="K102" s="35" t="str">
        <f t="shared" si="9"/>
        <v>    </v>
      </c>
      <c r="L102" s="787">
        <f t="shared" si="5"/>
        <v>0.02</v>
      </c>
      <c r="M102" s="765">
        <v>2011</v>
      </c>
      <c r="N102" s="765">
        <v>1</v>
      </c>
      <c r="O102" s="765">
        <v>1</v>
      </c>
      <c r="P102" s="765">
        <v>2011</v>
      </c>
      <c r="Q102" s="765">
        <v>12</v>
      </c>
      <c r="R102" s="765">
        <v>31</v>
      </c>
      <c r="U102" s="766" t="str">
        <f t="shared" si="6"/>
        <v>2011.1.1</v>
      </c>
      <c r="X102" s="766" t="str">
        <f t="shared" si="7"/>
        <v>2011.12.31</v>
      </c>
      <c r="Z102" s="766">
        <f t="shared" si="8"/>
        <v>365</v>
      </c>
    </row>
    <row r="103" spans="1:26" ht="12.75" hidden="1">
      <c r="A103" s="689">
        <v>103</v>
      </c>
      <c r="B103" s="784"/>
      <c r="C103" s="40" t="s">
        <v>857</v>
      </c>
      <c r="D103" s="788"/>
      <c r="E103" s="785"/>
      <c r="F103" s="785"/>
      <c r="G103" s="785"/>
      <c r="H103" s="1618"/>
      <c r="I103" s="1618"/>
      <c r="J103" s="786">
        <v>0.02</v>
      </c>
      <c r="K103" s="35" t="str">
        <f t="shared" si="9"/>
        <v>    </v>
      </c>
      <c r="L103" s="787">
        <f t="shared" si="5"/>
        <v>0.02</v>
      </c>
      <c r="M103" s="765">
        <v>2011</v>
      </c>
      <c r="N103" s="765">
        <v>1</v>
      </c>
      <c r="O103" s="765">
        <v>1</v>
      </c>
      <c r="P103" s="765">
        <v>2011</v>
      </c>
      <c r="Q103" s="765">
        <v>12</v>
      </c>
      <c r="R103" s="765">
        <v>31</v>
      </c>
      <c r="U103" s="766" t="str">
        <f t="shared" si="6"/>
        <v>2011.1.1</v>
      </c>
      <c r="X103" s="766" t="str">
        <f t="shared" si="7"/>
        <v>2011.12.31</v>
      </c>
      <c r="Z103" s="766">
        <f t="shared" si="8"/>
        <v>365</v>
      </c>
    </row>
    <row r="104" spans="1:26" ht="12.75" hidden="1">
      <c r="A104" s="689">
        <v>104</v>
      </c>
      <c r="B104" s="784"/>
      <c r="C104" s="40" t="s">
        <v>858</v>
      </c>
      <c r="D104" s="788"/>
      <c r="E104" s="785"/>
      <c r="F104" s="785"/>
      <c r="G104" s="785"/>
      <c r="H104" s="1618"/>
      <c r="I104" s="1618"/>
      <c r="J104" s="786">
        <v>0.02</v>
      </c>
      <c r="K104" s="35" t="str">
        <f t="shared" si="9"/>
        <v>    </v>
      </c>
      <c r="L104" s="787">
        <f t="shared" si="5"/>
        <v>0.02</v>
      </c>
      <c r="M104" s="765">
        <v>2011</v>
      </c>
      <c r="N104" s="765">
        <v>1</v>
      </c>
      <c r="O104" s="765">
        <v>1</v>
      </c>
      <c r="P104" s="765">
        <v>2011</v>
      </c>
      <c r="Q104" s="765">
        <v>12</v>
      </c>
      <c r="R104" s="765">
        <v>31</v>
      </c>
      <c r="U104" s="766" t="str">
        <f t="shared" si="6"/>
        <v>2011.1.1</v>
      </c>
      <c r="X104" s="766" t="str">
        <f t="shared" si="7"/>
        <v>2011.12.31</v>
      </c>
      <c r="Z104" s="766">
        <f t="shared" si="8"/>
        <v>365</v>
      </c>
    </row>
    <row r="105" spans="1:26" ht="12.75" hidden="1">
      <c r="A105" s="689">
        <v>105</v>
      </c>
      <c r="B105" s="784"/>
      <c r="C105" s="40" t="s">
        <v>859</v>
      </c>
      <c r="D105" s="788"/>
      <c r="E105" s="785"/>
      <c r="F105" s="788"/>
      <c r="G105" s="785"/>
      <c r="H105" s="1618"/>
      <c r="I105" s="1618"/>
      <c r="J105" s="786">
        <v>0.02</v>
      </c>
      <c r="K105" s="35" t="str">
        <f t="shared" si="9"/>
        <v>    </v>
      </c>
      <c r="L105" s="787">
        <f t="shared" si="5"/>
        <v>0.02</v>
      </c>
      <c r="M105" s="765">
        <v>2011</v>
      </c>
      <c r="N105" s="765">
        <v>1</v>
      </c>
      <c r="O105" s="765">
        <v>1</v>
      </c>
      <c r="P105" s="765">
        <v>2011</v>
      </c>
      <c r="Q105" s="765">
        <v>12</v>
      </c>
      <c r="R105" s="765">
        <v>31</v>
      </c>
      <c r="U105" s="766" t="str">
        <f t="shared" si="6"/>
        <v>2011.1.1</v>
      </c>
      <c r="X105" s="766" t="str">
        <f t="shared" si="7"/>
        <v>2011.12.31</v>
      </c>
      <c r="Z105" s="766">
        <f t="shared" si="8"/>
        <v>365</v>
      </c>
    </row>
    <row r="106" spans="1:26" ht="12.75" hidden="1">
      <c r="A106" s="689">
        <v>106</v>
      </c>
      <c r="B106" s="784"/>
      <c r="C106" s="40" t="s">
        <v>860</v>
      </c>
      <c r="D106" s="788"/>
      <c r="E106" s="785"/>
      <c r="F106" s="785"/>
      <c r="G106" s="785"/>
      <c r="H106" s="1618"/>
      <c r="I106" s="1618"/>
      <c r="J106" s="786">
        <v>0.02</v>
      </c>
      <c r="K106" s="35" t="str">
        <f t="shared" si="9"/>
        <v>    </v>
      </c>
      <c r="L106" s="787">
        <f t="shared" si="5"/>
        <v>0.02</v>
      </c>
      <c r="M106" s="765">
        <v>2011</v>
      </c>
      <c r="N106" s="765">
        <v>1</v>
      </c>
      <c r="O106" s="765">
        <v>1</v>
      </c>
      <c r="P106" s="765">
        <v>2011</v>
      </c>
      <c r="Q106" s="765">
        <v>12</v>
      </c>
      <c r="R106" s="765">
        <v>31</v>
      </c>
      <c r="U106" s="766" t="str">
        <f t="shared" si="6"/>
        <v>2011.1.1</v>
      </c>
      <c r="X106" s="766" t="str">
        <f t="shared" si="7"/>
        <v>2011.12.31</v>
      </c>
      <c r="Z106" s="766">
        <f t="shared" si="8"/>
        <v>365</v>
      </c>
    </row>
    <row r="107" spans="1:26" ht="12.75" hidden="1">
      <c r="A107" s="689">
        <v>107</v>
      </c>
      <c r="B107" s="784"/>
      <c r="C107" s="40" t="s">
        <v>861</v>
      </c>
      <c r="D107" s="788"/>
      <c r="E107" s="785"/>
      <c r="F107" s="785"/>
      <c r="G107" s="785"/>
      <c r="H107" s="1618"/>
      <c r="I107" s="1618"/>
      <c r="J107" s="786">
        <v>0.02</v>
      </c>
      <c r="K107" s="35" t="str">
        <f t="shared" si="9"/>
        <v>    </v>
      </c>
      <c r="L107" s="787">
        <f t="shared" si="5"/>
        <v>0.02</v>
      </c>
      <c r="M107" s="765">
        <v>2011</v>
      </c>
      <c r="N107" s="765">
        <v>1</v>
      </c>
      <c r="O107" s="765">
        <v>1</v>
      </c>
      <c r="P107" s="765">
        <v>2011</v>
      </c>
      <c r="Q107" s="765">
        <v>12</v>
      </c>
      <c r="R107" s="765">
        <v>31</v>
      </c>
      <c r="U107" s="766" t="str">
        <f t="shared" si="6"/>
        <v>2011.1.1</v>
      </c>
      <c r="X107" s="766" t="str">
        <f t="shared" si="7"/>
        <v>2011.12.31</v>
      </c>
      <c r="Z107" s="766">
        <f t="shared" si="8"/>
        <v>365</v>
      </c>
    </row>
    <row r="108" spans="1:26" ht="12.75" hidden="1">
      <c r="A108" s="689">
        <v>108</v>
      </c>
      <c r="B108" s="784"/>
      <c r="C108" s="40" t="s">
        <v>862</v>
      </c>
      <c r="D108" s="788"/>
      <c r="E108" s="785"/>
      <c r="F108" s="788"/>
      <c r="G108" s="785"/>
      <c r="H108" s="1618"/>
      <c r="I108" s="1618"/>
      <c r="J108" s="786">
        <v>0.02</v>
      </c>
      <c r="K108" s="35" t="str">
        <f t="shared" si="9"/>
        <v>    </v>
      </c>
      <c r="L108" s="787">
        <f t="shared" si="5"/>
        <v>0.02</v>
      </c>
      <c r="M108" s="765">
        <v>2011</v>
      </c>
      <c r="N108" s="765">
        <v>1</v>
      </c>
      <c r="O108" s="765">
        <v>1</v>
      </c>
      <c r="P108" s="765">
        <v>2011</v>
      </c>
      <c r="Q108" s="765">
        <v>12</v>
      </c>
      <c r="R108" s="765">
        <v>31</v>
      </c>
      <c r="U108" s="766" t="str">
        <f t="shared" si="6"/>
        <v>2011.1.1</v>
      </c>
      <c r="X108" s="766" t="str">
        <f t="shared" si="7"/>
        <v>2011.12.31</v>
      </c>
      <c r="Z108" s="766">
        <f t="shared" si="8"/>
        <v>365</v>
      </c>
    </row>
    <row r="109" spans="1:26" ht="12.75" hidden="1">
      <c r="A109" s="689">
        <v>109</v>
      </c>
      <c r="B109" s="784"/>
      <c r="C109" s="40" t="s">
        <v>863</v>
      </c>
      <c r="D109" s="788"/>
      <c r="E109" s="785"/>
      <c r="F109" s="785"/>
      <c r="G109" s="785"/>
      <c r="H109" s="1618"/>
      <c r="I109" s="1618"/>
      <c r="J109" s="786">
        <v>0.02</v>
      </c>
      <c r="K109" s="35" t="str">
        <f t="shared" si="9"/>
        <v>    </v>
      </c>
      <c r="L109" s="787">
        <f t="shared" si="5"/>
        <v>0.02</v>
      </c>
      <c r="M109" s="765">
        <v>2011</v>
      </c>
      <c r="N109" s="765">
        <v>1</v>
      </c>
      <c r="O109" s="765">
        <v>1</v>
      </c>
      <c r="P109" s="765">
        <v>2011</v>
      </c>
      <c r="Q109" s="765">
        <v>12</v>
      </c>
      <c r="R109" s="765">
        <v>31</v>
      </c>
      <c r="U109" s="766" t="str">
        <f t="shared" si="6"/>
        <v>2011.1.1</v>
      </c>
      <c r="X109" s="766" t="str">
        <f t="shared" si="7"/>
        <v>2011.12.31</v>
      </c>
      <c r="Z109" s="766">
        <f t="shared" si="8"/>
        <v>365</v>
      </c>
    </row>
    <row r="110" spans="1:26" ht="12.75" hidden="1">
      <c r="A110" s="689">
        <v>110</v>
      </c>
      <c r="B110" s="784"/>
      <c r="C110" s="40" t="s">
        <v>864</v>
      </c>
      <c r="D110" s="788"/>
      <c r="E110" s="785"/>
      <c r="F110" s="785"/>
      <c r="G110" s="785"/>
      <c r="H110" s="1618"/>
      <c r="I110" s="1618"/>
      <c r="J110" s="786">
        <v>0.02</v>
      </c>
      <c r="K110" s="35" t="str">
        <f t="shared" si="9"/>
        <v>    </v>
      </c>
      <c r="L110" s="787">
        <f t="shared" si="5"/>
        <v>0.02</v>
      </c>
      <c r="M110" s="765">
        <v>2011</v>
      </c>
      <c r="N110" s="765">
        <v>1</v>
      </c>
      <c r="O110" s="765">
        <v>1</v>
      </c>
      <c r="P110" s="765">
        <v>2011</v>
      </c>
      <c r="Q110" s="765">
        <v>12</v>
      </c>
      <c r="R110" s="765">
        <v>31</v>
      </c>
      <c r="U110" s="766" t="str">
        <f t="shared" si="6"/>
        <v>2011.1.1</v>
      </c>
      <c r="X110" s="766" t="str">
        <f t="shared" si="7"/>
        <v>2011.12.31</v>
      </c>
      <c r="Z110" s="766">
        <f t="shared" si="8"/>
        <v>365</v>
      </c>
    </row>
    <row r="111" spans="1:26" ht="12.75" hidden="1">
      <c r="A111" s="689">
        <v>111</v>
      </c>
      <c r="B111" s="784"/>
      <c r="C111" s="40" t="s">
        <v>865</v>
      </c>
      <c r="D111" s="788"/>
      <c r="E111" s="785"/>
      <c r="F111" s="788"/>
      <c r="G111" s="785"/>
      <c r="H111" s="1618"/>
      <c r="I111" s="1618"/>
      <c r="J111" s="786">
        <v>0.02</v>
      </c>
      <c r="K111" s="35" t="str">
        <f t="shared" si="9"/>
        <v>    </v>
      </c>
      <c r="L111" s="787">
        <f t="shared" si="5"/>
        <v>0.02</v>
      </c>
      <c r="M111" s="765">
        <v>2011</v>
      </c>
      <c r="N111" s="765">
        <v>1</v>
      </c>
      <c r="O111" s="765">
        <v>1</v>
      </c>
      <c r="P111" s="765">
        <v>2011</v>
      </c>
      <c r="Q111" s="765">
        <v>12</v>
      </c>
      <c r="R111" s="765">
        <v>31</v>
      </c>
      <c r="U111" s="766" t="str">
        <f t="shared" si="6"/>
        <v>2011.1.1</v>
      </c>
      <c r="X111" s="766" t="str">
        <f t="shared" si="7"/>
        <v>2011.12.31</v>
      </c>
      <c r="Z111" s="766">
        <f t="shared" si="8"/>
        <v>365</v>
      </c>
    </row>
    <row r="112" spans="1:26" ht="12.75" hidden="1">
      <c r="A112" s="689">
        <v>112</v>
      </c>
      <c r="B112" s="784"/>
      <c r="C112" s="40" t="s">
        <v>866</v>
      </c>
      <c r="D112" s="788"/>
      <c r="E112" s="785"/>
      <c r="F112" s="785"/>
      <c r="G112" s="785"/>
      <c r="H112" s="1618"/>
      <c r="I112" s="1618"/>
      <c r="J112" s="786">
        <v>0.02</v>
      </c>
      <c r="K112" s="35" t="str">
        <f t="shared" si="9"/>
        <v>    </v>
      </c>
      <c r="L112" s="787">
        <f t="shared" si="5"/>
        <v>0.02</v>
      </c>
      <c r="M112" s="765">
        <v>2011</v>
      </c>
      <c r="N112" s="765">
        <v>1</v>
      </c>
      <c r="O112" s="765">
        <v>1</v>
      </c>
      <c r="P112" s="765">
        <v>2011</v>
      </c>
      <c r="Q112" s="765">
        <v>12</v>
      </c>
      <c r="R112" s="765">
        <v>31</v>
      </c>
      <c r="U112" s="766" t="str">
        <f t="shared" si="6"/>
        <v>2011.1.1</v>
      </c>
      <c r="X112" s="766" t="str">
        <f t="shared" si="7"/>
        <v>2011.12.31</v>
      </c>
      <c r="Z112" s="766">
        <f t="shared" si="8"/>
        <v>365</v>
      </c>
    </row>
    <row r="113" spans="1:26" ht="12.75" hidden="1">
      <c r="A113" s="689">
        <v>113</v>
      </c>
      <c r="B113" s="784"/>
      <c r="C113" s="40" t="s">
        <v>867</v>
      </c>
      <c r="D113" s="788"/>
      <c r="E113" s="785"/>
      <c r="F113" s="785"/>
      <c r="G113" s="785"/>
      <c r="H113" s="1618"/>
      <c r="I113" s="1618"/>
      <c r="J113" s="786">
        <v>0.02</v>
      </c>
      <c r="K113" s="35" t="str">
        <f t="shared" si="9"/>
        <v>    </v>
      </c>
      <c r="L113" s="787">
        <f t="shared" si="5"/>
        <v>0.02</v>
      </c>
      <c r="M113" s="765">
        <v>2011</v>
      </c>
      <c r="N113" s="765">
        <v>1</v>
      </c>
      <c r="O113" s="765">
        <v>1</v>
      </c>
      <c r="P113" s="765">
        <v>2011</v>
      </c>
      <c r="Q113" s="765">
        <v>12</v>
      </c>
      <c r="R113" s="765">
        <v>31</v>
      </c>
      <c r="U113" s="766" t="str">
        <f t="shared" si="6"/>
        <v>2011.1.1</v>
      </c>
      <c r="X113" s="766" t="str">
        <f t="shared" si="7"/>
        <v>2011.12.31</v>
      </c>
      <c r="Z113" s="766">
        <f t="shared" si="8"/>
        <v>365</v>
      </c>
    </row>
    <row r="114" spans="1:26" ht="12.75" hidden="1">
      <c r="A114" s="689">
        <v>114</v>
      </c>
      <c r="B114" s="784"/>
      <c r="C114" s="40" t="s">
        <v>868</v>
      </c>
      <c r="D114" s="788"/>
      <c r="E114" s="785"/>
      <c r="F114" s="785"/>
      <c r="G114" s="785"/>
      <c r="H114" s="1618"/>
      <c r="I114" s="1618"/>
      <c r="J114" s="786">
        <v>0.02</v>
      </c>
      <c r="K114" s="35" t="str">
        <f t="shared" si="9"/>
        <v>    </v>
      </c>
      <c r="L114" s="787">
        <f t="shared" si="5"/>
        <v>0.02</v>
      </c>
      <c r="M114" s="765">
        <v>2011</v>
      </c>
      <c r="N114" s="765">
        <v>1</v>
      </c>
      <c r="O114" s="765">
        <v>1</v>
      </c>
      <c r="P114" s="765">
        <v>2011</v>
      </c>
      <c r="Q114" s="765">
        <v>12</v>
      </c>
      <c r="R114" s="765">
        <v>31</v>
      </c>
      <c r="U114" s="766" t="str">
        <f t="shared" si="6"/>
        <v>2011.1.1</v>
      </c>
      <c r="X114" s="766" t="str">
        <f t="shared" si="7"/>
        <v>2011.12.31</v>
      </c>
      <c r="Z114" s="766">
        <f t="shared" si="8"/>
        <v>365</v>
      </c>
    </row>
    <row r="115" spans="1:26" ht="12.75" hidden="1">
      <c r="A115" s="689">
        <v>115</v>
      </c>
      <c r="B115" s="784"/>
      <c r="C115" s="40" t="s">
        <v>869</v>
      </c>
      <c r="D115" s="788"/>
      <c r="E115" s="785"/>
      <c r="F115" s="785"/>
      <c r="G115" s="785"/>
      <c r="H115" s="1618"/>
      <c r="I115" s="1618"/>
      <c r="J115" s="786">
        <v>0.02</v>
      </c>
      <c r="K115" s="35" t="str">
        <f t="shared" si="9"/>
        <v>    </v>
      </c>
      <c r="L115" s="787">
        <f t="shared" si="5"/>
        <v>0.02</v>
      </c>
      <c r="M115" s="765">
        <v>2011</v>
      </c>
      <c r="N115" s="765">
        <v>1</v>
      </c>
      <c r="O115" s="765">
        <v>1</v>
      </c>
      <c r="P115" s="765">
        <v>2011</v>
      </c>
      <c r="Q115" s="765">
        <v>12</v>
      </c>
      <c r="R115" s="765">
        <v>31</v>
      </c>
      <c r="U115" s="766" t="str">
        <f t="shared" si="6"/>
        <v>2011.1.1</v>
      </c>
      <c r="X115" s="766" t="str">
        <f t="shared" si="7"/>
        <v>2011.12.31</v>
      </c>
      <c r="Z115" s="766">
        <f t="shared" si="8"/>
        <v>365</v>
      </c>
    </row>
    <row r="116" spans="1:26" ht="12.75" hidden="1">
      <c r="A116" s="689">
        <v>116</v>
      </c>
      <c r="B116" s="784"/>
      <c r="C116" s="40" t="s">
        <v>870</v>
      </c>
      <c r="D116" s="788"/>
      <c r="E116" s="785"/>
      <c r="F116" s="788"/>
      <c r="G116" s="785"/>
      <c r="H116" s="1618"/>
      <c r="I116" s="1618"/>
      <c r="J116" s="786">
        <v>0.02</v>
      </c>
      <c r="K116" s="35" t="str">
        <f t="shared" si="9"/>
        <v>    </v>
      </c>
      <c r="L116" s="787">
        <f t="shared" si="5"/>
        <v>0.02</v>
      </c>
      <c r="M116" s="765">
        <v>2011</v>
      </c>
      <c r="N116" s="765">
        <v>1</v>
      </c>
      <c r="O116" s="765">
        <v>1</v>
      </c>
      <c r="P116" s="765">
        <v>2011</v>
      </c>
      <c r="Q116" s="765">
        <v>12</v>
      </c>
      <c r="R116" s="765">
        <v>31</v>
      </c>
      <c r="U116" s="766" t="str">
        <f t="shared" si="6"/>
        <v>2011.1.1</v>
      </c>
      <c r="X116" s="766" t="str">
        <f t="shared" si="7"/>
        <v>2011.12.31</v>
      </c>
      <c r="Z116" s="766">
        <f t="shared" si="8"/>
        <v>365</v>
      </c>
    </row>
    <row r="117" spans="1:26" ht="12.75" hidden="1">
      <c r="A117" s="689">
        <v>117</v>
      </c>
      <c r="B117" s="784"/>
      <c r="C117" s="40" t="s">
        <v>871</v>
      </c>
      <c r="D117" s="788"/>
      <c r="E117" s="785"/>
      <c r="F117" s="785" t="s">
        <v>872</v>
      </c>
      <c r="G117" s="785"/>
      <c r="H117" s="1618"/>
      <c r="I117" s="1618"/>
      <c r="J117" s="786">
        <v>0.02</v>
      </c>
      <c r="K117" s="35" t="str">
        <f t="shared" si="9"/>
        <v>  91  </v>
      </c>
      <c r="L117" s="787">
        <f t="shared" si="5"/>
        <v>0.02</v>
      </c>
      <c r="M117" s="765">
        <v>2011</v>
      </c>
      <c r="N117" s="765">
        <v>1</v>
      </c>
      <c r="O117" s="765">
        <v>1</v>
      </c>
      <c r="P117" s="765">
        <v>2011</v>
      </c>
      <c r="Q117" s="765">
        <v>12</v>
      </c>
      <c r="R117" s="765">
        <v>31</v>
      </c>
      <c r="U117" s="766" t="str">
        <f t="shared" si="6"/>
        <v>2011.1.1</v>
      </c>
      <c r="X117" s="766" t="str">
        <f t="shared" si="7"/>
        <v>2011.12.31</v>
      </c>
      <c r="Z117" s="766">
        <f t="shared" si="8"/>
        <v>365</v>
      </c>
    </row>
    <row r="118" spans="1:26" ht="12.75" hidden="1">
      <c r="A118" s="689">
        <v>118</v>
      </c>
      <c r="B118" s="784"/>
      <c r="C118" s="40" t="s">
        <v>873</v>
      </c>
      <c r="D118" s="788"/>
      <c r="E118" s="785"/>
      <c r="F118" s="785" t="s">
        <v>874</v>
      </c>
      <c r="G118" s="785"/>
      <c r="H118" s="1618"/>
      <c r="I118" s="1618"/>
      <c r="J118" s="786">
        <v>0.02</v>
      </c>
      <c r="K118" s="35" t="str">
        <f t="shared" si="9"/>
        <v>  92  </v>
      </c>
      <c r="L118" s="787">
        <f t="shared" si="5"/>
        <v>0.02</v>
      </c>
      <c r="M118" s="765">
        <v>2011</v>
      </c>
      <c r="N118" s="765">
        <v>1</v>
      </c>
      <c r="O118" s="765">
        <v>1</v>
      </c>
      <c r="P118" s="765">
        <v>2011</v>
      </c>
      <c r="Q118" s="765">
        <v>12</v>
      </c>
      <c r="R118" s="765">
        <v>31</v>
      </c>
      <c r="U118" s="766" t="str">
        <f t="shared" si="6"/>
        <v>2011.1.1</v>
      </c>
      <c r="X118" s="766" t="str">
        <f t="shared" si="7"/>
        <v>2011.12.31</v>
      </c>
      <c r="Z118" s="766">
        <f t="shared" si="8"/>
        <v>365</v>
      </c>
    </row>
    <row r="119" spans="1:26" ht="12.75" hidden="1">
      <c r="A119" s="689">
        <v>119</v>
      </c>
      <c r="B119" s="784"/>
      <c r="C119" s="40" t="s">
        <v>875</v>
      </c>
      <c r="D119" s="788"/>
      <c r="E119" s="785"/>
      <c r="F119" s="788" t="s">
        <v>876</v>
      </c>
      <c r="G119" s="785"/>
      <c r="H119" s="1618"/>
      <c r="I119" s="1618"/>
      <c r="J119" s="786">
        <v>0.02</v>
      </c>
      <c r="K119" s="35" t="str">
        <f t="shared" si="9"/>
        <v>  93  </v>
      </c>
      <c r="L119" s="787">
        <f t="shared" si="5"/>
        <v>0.02</v>
      </c>
      <c r="M119" s="765">
        <v>2011</v>
      </c>
      <c r="N119" s="765">
        <v>1</v>
      </c>
      <c r="O119" s="765">
        <v>1</v>
      </c>
      <c r="P119" s="765">
        <v>2011</v>
      </c>
      <c r="Q119" s="765">
        <v>12</v>
      </c>
      <c r="R119" s="765">
        <v>31</v>
      </c>
      <c r="U119" s="766" t="str">
        <f t="shared" si="6"/>
        <v>2011.1.1</v>
      </c>
      <c r="X119" s="766" t="str">
        <f t="shared" si="7"/>
        <v>2011.12.31</v>
      </c>
      <c r="Z119" s="766">
        <f t="shared" si="8"/>
        <v>365</v>
      </c>
    </row>
    <row r="120" spans="1:26" ht="12.75" hidden="1">
      <c r="A120" s="689">
        <v>120</v>
      </c>
      <c r="B120" s="784"/>
      <c r="C120" s="40" t="s">
        <v>877</v>
      </c>
      <c r="D120" s="788"/>
      <c r="E120" s="785"/>
      <c r="F120" s="785" t="s">
        <v>878</v>
      </c>
      <c r="G120" s="785"/>
      <c r="H120" s="1618"/>
      <c r="I120" s="1618"/>
      <c r="J120" s="786">
        <v>0.02</v>
      </c>
      <c r="K120" s="35" t="str">
        <f t="shared" si="9"/>
        <v>  94  </v>
      </c>
      <c r="L120" s="787">
        <f t="shared" si="5"/>
        <v>0.02</v>
      </c>
      <c r="M120" s="765">
        <v>2011</v>
      </c>
      <c r="N120" s="765">
        <v>1</v>
      </c>
      <c r="O120" s="765">
        <v>1</v>
      </c>
      <c r="P120" s="765">
        <v>2011</v>
      </c>
      <c r="Q120" s="765">
        <v>12</v>
      </c>
      <c r="R120" s="765">
        <v>31</v>
      </c>
      <c r="U120" s="766" t="str">
        <f t="shared" si="6"/>
        <v>2011.1.1</v>
      </c>
      <c r="X120" s="766" t="str">
        <f t="shared" si="7"/>
        <v>2011.12.31</v>
      </c>
      <c r="Z120" s="766">
        <f t="shared" si="8"/>
        <v>365</v>
      </c>
    </row>
    <row r="121" spans="1:26" ht="12.75" hidden="1">
      <c r="A121" s="689">
        <v>121</v>
      </c>
      <c r="B121" s="784"/>
      <c r="C121" s="40" t="s">
        <v>879</v>
      </c>
      <c r="D121" s="788"/>
      <c r="E121" s="785"/>
      <c r="F121" s="785" t="s">
        <v>880</v>
      </c>
      <c r="G121" s="785"/>
      <c r="H121" s="1618"/>
      <c r="I121" s="1618"/>
      <c r="J121" s="786">
        <v>0.02</v>
      </c>
      <c r="K121" s="35" t="str">
        <f t="shared" si="9"/>
        <v>  95  </v>
      </c>
      <c r="L121" s="787">
        <f t="shared" si="5"/>
        <v>0.02</v>
      </c>
      <c r="M121" s="765">
        <v>2011</v>
      </c>
      <c r="N121" s="765">
        <v>1</v>
      </c>
      <c r="O121" s="765">
        <v>1</v>
      </c>
      <c r="P121" s="765">
        <v>2011</v>
      </c>
      <c r="Q121" s="765">
        <v>12</v>
      </c>
      <c r="R121" s="765">
        <v>31</v>
      </c>
      <c r="U121" s="766" t="str">
        <f t="shared" si="6"/>
        <v>2011.1.1</v>
      </c>
      <c r="X121" s="766" t="str">
        <f t="shared" si="7"/>
        <v>2011.12.31</v>
      </c>
      <c r="Z121" s="766">
        <f t="shared" si="8"/>
        <v>365</v>
      </c>
    </row>
    <row r="122" spans="1:26" ht="12.75" hidden="1">
      <c r="A122" s="689">
        <v>122</v>
      </c>
      <c r="B122" s="784"/>
      <c r="C122" s="40" t="s">
        <v>881</v>
      </c>
      <c r="D122" s="788"/>
      <c r="E122" s="785"/>
      <c r="F122" s="788" t="s">
        <v>882</v>
      </c>
      <c r="G122" s="785"/>
      <c r="H122" s="1618"/>
      <c r="I122" s="1618"/>
      <c r="J122" s="786">
        <v>0.02</v>
      </c>
      <c r="K122" s="35" t="str">
        <f t="shared" si="9"/>
        <v>  96  </v>
      </c>
      <c r="L122" s="787">
        <f t="shared" si="5"/>
        <v>0.02</v>
      </c>
      <c r="M122" s="765">
        <v>2011</v>
      </c>
      <c r="N122" s="765">
        <v>1</v>
      </c>
      <c r="O122" s="765">
        <v>1</v>
      </c>
      <c r="P122" s="765">
        <v>2011</v>
      </c>
      <c r="Q122" s="765">
        <v>12</v>
      </c>
      <c r="R122" s="765">
        <v>31</v>
      </c>
      <c r="U122" s="766" t="str">
        <f t="shared" si="6"/>
        <v>2011.1.1</v>
      </c>
      <c r="X122" s="766" t="str">
        <f t="shared" si="7"/>
        <v>2011.12.31</v>
      </c>
      <c r="Z122" s="766">
        <f t="shared" si="8"/>
        <v>365</v>
      </c>
    </row>
    <row r="123" spans="1:26" ht="12.75" hidden="1">
      <c r="A123" s="689">
        <v>123</v>
      </c>
      <c r="B123" s="784"/>
      <c r="C123" s="40" t="s">
        <v>883</v>
      </c>
      <c r="D123" s="788"/>
      <c r="E123" s="785"/>
      <c r="F123" s="785" t="s">
        <v>884</v>
      </c>
      <c r="G123" s="785"/>
      <c r="H123" s="1618"/>
      <c r="I123" s="1618"/>
      <c r="J123" s="786">
        <v>0.02</v>
      </c>
      <c r="K123" s="35" t="str">
        <f t="shared" si="9"/>
        <v>  97  </v>
      </c>
      <c r="L123" s="787">
        <f t="shared" si="5"/>
        <v>0.02</v>
      </c>
      <c r="M123" s="765">
        <v>2011</v>
      </c>
      <c r="N123" s="765">
        <v>1</v>
      </c>
      <c r="O123" s="765">
        <v>1</v>
      </c>
      <c r="P123" s="765">
        <v>2011</v>
      </c>
      <c r="Q123" s="765">
        <v>12</v>
      </c>
      <c r="R123" s="765">
        <v>31</v>
      </c>
      <c r="U123" s="766" t="str">
        <f t="shared" si="6"/>
        <v>2011.1.1</v>
      </c>
      <c r="X123" s="766" t="str">
        <f t="shared" si="7"/>
        <v>2011.12.31</v>
      </c>
      <c r="Z123" s="766">
        <f t="shared" si="8"/>
        <v>365</v>
      </c>
    </row>
    <row r="124" spans="1:26" ht="12.75" hidden="1">
      <c r="A124" s="689">
        <v>124</v>
      </c>
      <c r="B124" s="784"/>
      <c r="C124" s="40" t="s">
        <v>885</v>
      </c>
      <c r="D124" s="788"/>
      <c r="E124" s="785"/>
      <c r="F124" s="785" t="s">
        <v>886</v>
      </c>
      <c r="G124" s="785"/>
      <c r="H124" s="1618"/>
      <c r="I124" s="1618"/>
      <c r="J124" s="786">
        <v>0.02</v>
      </c>
      <c r="K124" s="35" t="str">
        <f t="shared" si="9"/>
        <v>  98  </v>
      </c>
      <c r="L124" s="787">
        <f t="shared" si="5"/>
        <v>0.02</v>
      </c>
      <c r="M124" s="765">
        <v>2011</v>
      </c>
      <c r="N124" s="765">
        <v>1</v>
      </c>
      <c r="O124" s="765">
        <v>1</v>
      </c>
      <c r="P124" s="765">
        <v>2011</v>
      </c>
      <c r="Q124" s="765">
        <v>12</v>
      </c>
      <c r="R124" s="765">
        <v>31</v>
      </c>
      <c r="U124" s="766" t="str">
        <f t="shared" si="6"/>
        <v>2011.1.1</v>
      </c>
      <c r="X124" s="766" t="str">
        <f t="shared" si="7"/>
        <v>2011.12.31</v>
      </c>
      <c r="Z124" s="766">
        <f t="shared" si="8"/>
        <v>365</v>
      </c>
    </row>
    <row r="125" spans="1:26" ht="12.75" hidden="1">
      <c r="A125" s="689">
        <v>125</v>
      </c>
      <c r="B125" s="784"/>
      <c r="C125" s="40" t="s">
        <v>887</v>
      </c>
      <c r="D125" s="788"/>
      <c r="E125" s="785"/>
      <c r="F125" s="788" t="s">
        <v>888</v>
      </c>
      <c r="G125" s="785"/>
      <c r="H125" s="1618"/>
      <c r="I125" s="1618"/>
      <c r="J125" s="786">
        <v>0.02</v>
      </c>
      <c r="K125" s="35" t="str">
        <f t="shared" si="9"/>
        <v>  99  </v>
      </c>
      <c r="L125" s="787">
        <f t="shared" si="5"/>
        <v>0.02</v>
      </c>
      <c r="M125" s="765">
        <v>2011</v>
      </c>
      <c r="N125" s="765">
        <v>1</v>
      </c>
      <c r="O125" s="765">
        <v>1</v>
      </c>
      <c r="P125" s="765">
        <v>2011</v>
      </c>
      <c r="Q125" s="765">
        <v>12</v>
      </c>
      <c r="R125" s="765">
        <v>31</v>
      </c>
      <c r="U125" s="766" t="str">
        <f t="shared" si="6"/>
        <v>2011.1.1</v>
      </c>
      <c r="X125" s="766" t="str">
        <f t="shared" si="7"/>
        <v>2011.12.31</v>
      </c>
      <c r="Z125" s="766">
        <f t="shared" si="8"/>
        <v>365</v>
      </c>
    </row>
    <row r="126" spans="1:26" ht="12.75" hidden="1">
      <c r="A126" s="689">
        <v>126</v>
      </c>
      <c r="B126" s="784"/>
      <c r="C126" s="40" t="s">
        <v>889</v>
      </c>
      <c r="D126" s="788"/>
      <c r="E126" s="785"/>
      <c r="F126" s="785" t="s">
        <v>890</v>
      </c>
      <c r="G126" s="785"/>
      <c r="H126" s="1618"/>
      <c r="I126" s="1618"/>
      <c r="J126" s="786">
        <v>0.02</v>
      </c>
      <c r="K126" s="35" t="str">
        <f t="shared" si="9"/>
        <v>  100  </v>
      </c>
      <c r="L126" s="787">
        <f t="shared" si="5"/>
        <v>0.02</v>
      </c>
      <c r="M126" s="765">
        <v>2011</v>
      </c>
      <c r="N126" s="765">
        <v>1</v>
      </c>
      <c r="O126" s="765">
        <v>1</v>
      </c>
      <c r="P126" s="765">
        <v>2011</v>
      </c>
      <c r="Q126" s="765">
        <v>12</v>
      </c>
      <c r="R126" s="765">
        <v>31</v>
      </c>
      <c r="U126" s="766" t="str">
        <f t="shared" si="6"/>
        <v>2011.1.1</v>
      </c>
      <c r="X126" s="766" t="str">
        <f t="shared" si="7"/>
        <v>2011.12.31</v>
      </c>
      <c r="Z126" s="766">
        <f t="shared" si="8"/>
        <v>365</v>
      </c>
    </row>
    <row r="127" spans="1:26" ht="12.75" hidden="1">
      <c r="A127" s="689">
        <v>127</v>
      </c>
      <c r="B127" s="784"/>
      <c r="C127" s="40" t="s">
        <v>891</v>
      </c>
      <c r="D127" s="788"/>
      <c r="E127" s="785"/>
      <c r="F127" s="785" t="s">
        <v>892</v>
      </c>
      <c r="G127" s="785"/>
      <c r="H127" s="1618"/>
      <c r="I127" s="1618"/>
      <c r="J127" s="786">
        <v>0.02</v>
      </c>
      <c r="K127" s="35" t="str">
        <f t="shared" si="9"/>
        <v>  101  </v>
      </c>
      <c r="L127" s="787">
        <f t="shared" si="5"/>
        <v>0.02</v>
      </c>
      <c r="M127" s="765">
        <v>2011</v>
      </c>
      <c r="N127" s="765">
        <v>1</v>
      </c>
      <c r="O127" s="765">
        <v>1</v>
      </c>
      <c r="P127" s="765">
        <v>2011</v>
      </c>
      <c r="Q127" s="765">
        <v>12</v>
      </c>
      <c r="R127" s="765">
        <v>31</v>
      </c>
      <c r="U127" s="766" t="str">
        <f t="shared" si="6"/>
        <v>2011.1.1</v>
      </c>
      <c r="X127" s="766" t="str">
        <f t="shared" si="7"/>
        <v>2011.12.31</v>
      </c>
      <c r="Z127" s="766">
        <f t="shared" si="8"/>
        <v>365</v>
      </c>
    </row>
    <row r="128" spans="1:26" ht="12.75" hidden="1">
      <c r="A128" s="689">
        <v>128</v>
      </c>
      <c r="B128" s="784"/>
      <c r="C128" s="40" t="s">
        <v>893</v>
      </c>
      <c r="D128" s="788"/>
      <c r="E128" s="785"/>
      <c r="F128" s="788" t="s">
        <v>894</v>
      </c>
      <c r="G128" s="785"/>
      <c r="H128" s="1618"/>
      <c r="I128" s="1618"/>
      <c r="J128" s="786">
        <v>0.02</v>
      </c>
      <c r="K128" s="35" t="str">
        <f t="shared" si="9"/>
        <v>  102  </v>
      </c>
      <c r="L128" s="787">
        <f t="shared" si="5"/>
        <v>0.02</v>
      </c>
      <c r="M128" s="765">
        <v>2011</v>
      </c>
      <c r="N128" s="765">
        <v>1</v>
      </c>
      <c r="O128" s="765">
        <v>1</v>
      </c>
      <c r="P128" s="765">
        <v>2011</v>
      </c>
      <c r="Q128" s="765">
        <v>12</v>
      </c>
      <c r="R128" s="765">
        <v>31</v>
      </c>
      <c r="U128" s="766" t="str">
        <f t="shared" si="6"/>
        <v>2011.1.1</v>
      </c>
      <c r="X128" s="766" t="str">
        <f t="shared" si="7"/>
        <v>2011.12.31</v>
      </c>
      <c r="Z128" s="766">
        <f t="shared" si="8"/>
        <v>365</v>
      </c>
    </row>
    <row r="129" spans="1:26" ht="12.75" hidden="1">
      <c r="A129" s="689">
        <v>129</v>
      </c>
      <c r="B129" s="784"/>
      <c r="C129" s="40" t="s">
        <v>895</v>
      </c>
      <c r="D129" s="788"/>
      <c r="E129" s="785"/>
      <c r="F129" s="785" t="s">
        <v>896</v>
      </c>
      <c r="G129" s="785"/>
      <c r="H129" s="1618"/>
      <c r="I129" s="1618"/>
      <c r="J129" s="786">
        <v>0.02</v>
      </c>
      <c r="K129" s="35" t="str">
        <f t="shared" si="9"/>
        <v>  103  </v>
      </c>
      <c r="L129" s="787">
        <f t="shared" si="5"/>
        <v>0.02</v>
      </c>
      <c r="M129" s="765">
        <v>2011</v>
      </c>
      <c r="N129" s="765">
        <v>1</v>
      </c>
      <c r="O129" s="765">
        <v>1</v>
      </c>
      <c r="P129" s="765">
        <v>2011</v>
      </c>
      <c r="Q129" s="765">
        <v>12</v>
      </c>
      <c r="R129" s="765">
        <v>31</v>
      </c>
      <c r="U129" s="766" t="str">
        <f t="shared" si="6"/>
        <v>2011.1.1</v>
      </c>
      <c r="X129" s="766" t="str">
        <f t="shared" si="7"/>
        <v>2011.12.31</v>
      </c>
      <c r="Z129" s="766">
        <f t="shared" si="8"/>
        <v>365</v>
      </c>
    </row>
    <row r="130" spans="1:26" ht="12.75" hidden="1">
      <c r="A130" s="689">
        <v>130</v>
      </c>
      <c r="B130" s="784"/>
      <c r="C130" s="40" t="s">
        <v>897</v>
      </c>
      <c r="D130" s="788"/>
      <c r="E130" s="785"/>
      <c r="F130" s="785" t="s">
        <v>898</v>
      </c>
      <c r="G130" s="785"/>
      <c r="H130" s="1618"/>
      <c r="I130" s="1618"/>
      <c r="J130" s="786">
        <v>0.02</v>
      </c>
      <c r="K130" s="35" t="str">
        <f t="shared" si="9"/>
        <v>  104  </v>
      </c>
      <c r="L130" s="787">
        <f t="shared" si="5"/>
        <v>0.02</v>
      </c>
      <c r="M130" s="765">
        <v>2011</v>
      </c>
      <c r="N130" s="765">
        <v>1</v>
      </c>
      <c r="O130" s="765">
        <v>1</v>
      </c>
      <c r="P130" s="765">
        <v>2011</v>
      </c>
      <c r="Q130" s="765">
        <v>12</v>
      </c>
      <c r="R130" s="765">
        <v>31</v>
      </c>
      <c r="U130" s="766" t="str">
        <f t="shared" si="6"/>
        <v>2011.1.1</v>
      </c>
      <c r="X130" s="766" t="str">
        <f t="shared" si="7"/>
        <v>2011.12.31</v>
      </c>
      <c r="Z130" s="766">
        <f t="shared" si="8"/>
        <v>365</v>
      </c>
    </row>
    <row r="131" spans="1:26" ht="12.75" hidden="1">
      <c r="A131" s="689">
        <v>131</v>
      </c>
      <c r="B131" s="784"/>
      <c r="C131" s="40" t="s">
        <v>899</v>
      </c>
      <c r="D131" s="788"/>
      <c r="E131" s="785"/>
      <c r="F131" s="788" t="s">
        <v>900</v>
      </c>
      <c r="G131" s="785"/>
      <c r="H131" s="1618"/>
      <c r="I131" s="1618"/>
      <c r="J131" s="786">
        <v>0.02</v>
      </c>
      <c r="K131" s="35" t="str">
        <f t="shared" si="9"/>
        <v>  105  </v>
      </c>
      <c r="L131" s="787">
        <f t="shared" si="5"/>
        <v>0.02</v>
      </c>
      <c r="M131" s="765">
        <v>2011</v>
      </c>
      <c r="N131" s="765">
        <v>1</v>
      </c>
      <c r="O131" s="765">
        <v>1</v>
      </c>
      <c r="P131" s="765">
        <v>2011</v>
      </c>
      <c r="Q131" s="765">
        <v>12</v>
      </c>
      <c r="R131" s="765">
        <v>31</v>
      </c>
      <c r="U131" s="766" t="str">
        <f t="shared" si="6"/>
        <v>2011.1.1</v>
      </c>
      <c r="X131" s="766" t="str">
        <f t="shared" si="7"/>
        <v>2011.12.31</v>
      </c>
      <c r="Z131" s="766">
        <f t="shared" si="8"/>
        <v>365</v>
      </c>
    </row>
    <row r="132" spans="1:26" ht="12.75" hidden="1">
      <c r="A132" s="689">
        <v>132</v>
      </c>
      <c r="B132" s="784"/>
      <c r="C132" s="40" t="s">
        <v>901</v>
      </c>
      <c r="D132" s="788"/>
      <c r="E132" s="785"/>
      <c r="F132" s="785" t="s">
        <v>902</v>
      </c>
      <c r="G132" s="785"/>
      <c r="H132" s="1618"/>
      <c r="I132" s="1618"/>
      <c r="J132" s="786">
        <v>0.02</v>
      </c>
      <c r="K132" s="35" t="str">
        <f t="shared" si="9"/>
        <v>  106  </v>
      </c>
      <c r="L132" s="787">
        <f t="shared" si="5"/>
        <v>0.02</v>
      </c>
      <c r="M132" s="765">
        <v>2011</v>
      </c>
      <c r="N132" s="765">
        <v>1</v>
      </c>
      <c r="O132" s="765">
        <v>1</v>
      </c>
      <c r="P132" s="765">
        <v>2011</v>
      </c>
      <c r="Q132" s="765">
        <v>12</v>
      </c>
      <c r="R132" s="765">
        <v>31</v>
      </c>
      <c r="U132" s="766" t="str">
        <f t="shared" si="6"/>
        <v>2011.1.1</v>
      </c>
      <c r="X132" s="766" t="str">
        <f t="shared" si="7"/>
        <v>2011.12.31</v>
      </c>
      <c r="Z132" s="766">
        <f t="shared" si="8"/>
        <v>365</v>
      </c>
    </row>
    <row r="133" spans="1:26" ht="12.75" hidden="1">
      <c r="A133" s="689">
        <v>133</v>
      </c>
      <c r="B133" s="784"/>
      <c r="C133" s="40" t="s">
        <v>0</v>
      </c>
      <c r="D133" s="788"/>
      <c r="E133" s="785"/>
      <c r="F133" s="788" t="s">
        <v>1</v>
      </c>
      <c r="G133" s="785"/>
      <c r="H133" s="1618"/>
      <c r="I133" s="1618"/>
      <c r="J133" s="786">
        <v>0.02</v>
      </c>
      <c r="K133" s="35" t="str">
        <f t="shared" si="9"/>
        <v>  107  </v>
      </c>
      <c r="L133" s="787">
        <f t="shared" si="5"/>
        <v>0.02</v>
      </c>
      <c r="M133" s="765">
        <v>2011</v>
      </c>
      <c r="N133" s="765">
        <v>1</v>
      </c>
      <c r="O133" s="765">
        <v>1</v>
      </c>
      <c r="P133" s="765">
        <v>2011</v>
      </c>
      <c r="Q133" s="765">
        <v>12</v>
      </c>
      <c r="R133" s="765">
        <v>31</v>
      </c>
      <c r="U133" s="766" t="str">
        <f t="shared" si="6"/>
        <v>2011.1.1</v>
      </c>
      <c r="X133" s="766" t="str">
        <f t="shared" si="7"/>
        <v>2011.12.31</v>
      </c>
      <c r="Z133" s="766">
        <f t="shared" si="8"/>
        <v>365</v>
      </c>
    </row>
    <row r="134" spans="1:26" ht="12.75" hidden="1">
      <c r="A134" s="689">
        <v>134</v>
      </c>
      <c r="B134" s="784"/>
      <c r="C134" s="40" t="s">
        <v>2</v>
      </c>
      <c r="D134" s="788"/>
      <c r="E134" s="785"/>
      <c r="F134" s="785" t="s">
        <v>3</v>
      </c>
      <c r="G134" s="785"/>
      <c r="H134" s="1618"/>
      <c r="I134" s="1618"/>
      <c r="J134" s="786">
        <v>0.02</v>
      </c>
      <c r="K134" s="35" t="str">
        <f t="shared" si="9"/>
        <v>  108  </v>
      </c>
      <c r="L134" s="787">
        <f t="shared" si="5"/>
        <v>0.02</v>
      </c>
      <c r="M134" s="765">
        <v>2011</v>
      </c>
      <c r="N134" s="765">
        <v>1</v>
      </c>
      <c r="O134" s="765">
        <v>1</v>
      </c>
      <c r="P134" s="765">
        <v>2011</v>
      </c>
      <c r="Q134" s="765">
        <v>12</v>
      </c>
      <c r="R134" s="765">
        <v>31</v>
      </c>
      <c r="U134" s="766" t="str">
        <f t="shared" si="6"/>
        <v>2011.1.1</v>
      </c>
      <c r="X134" s="766" t="str">
        <f t="shared" si="7"/>
        <v>2011.12.31</v>
      </c>
      <c r="Z134" s="766">
        <f t="shared" si="8"/>
        <v>365</v>
      </c>
    </row>
    <row r="135" spans="1:26" ht="12.75" hidden="1">
      <c r="A135" s="689">
        <v>135</v>
      </c>
      <c r="B135" s="784"/>
      <c r="C135" s="40" t="s">
        <v>4</v>
      </c>
      <c r="D135" s="788"/>
      <c r="E135" s="785"/>
      <c r="F135" s="785" t="s">
        <v>5</v>
      </c>
      <c r="G135" s="785"/>
      <c r="H135" s="1618"/>
      <c r="I135" s="1618"/>
      <c r="J135" s="786">
        <v>0.02</v>
      </c>
      <c r="K135" s="35" t="str">
        <f t="shared" si="9"/>
        <v>  109  </v>
      </c>
      <c r="L135" s="787">
        <f t="shared" si="5"/>
        <v>0.02</v>
      </c>
      <c r="M135" s="765">
        <v>2011</v>
      </c>
      <c r="N135" s="765">
        <v>1</v>
      </c>
      <c r="O135" s="765">
        <v>1</v>
      </c>
      <c r="P135" s="765">
        <v>2011</v>
      </c>
      <c r="Q135" s="765">
        <v>12</v>
      </c>
      <c r="R135" s="765">
        <v>31</v>
      </c>
      <c r="U135" s="766" t="str">
        <f t="shared" si="6"/>
        <v>2011.1.1</v>
      </c>
      <c r="X135" s="766" t="str">
        <f t="shared" si="7"/>
        <v>2011.12.31</v>
      </c>
      <c r="Z135" s="766">
        <f t="shared" si="8"/>
        <v>365</v>
      </c>
    </row>
    <row r="136" spans="1:26" ht="12.75" hidden="1">
      <c r="A136" s="689">
        <v>136</v>
      </c>
      <c r="B136" s="784"/>
      <c r="C136" s="40" t="s">
        <v>6</v>
      </c>
      <c r="D136" s="788"/>
      <c r="E136" s="785"/>
      <c r="F136" s="785" t="s">
        <v>7</v>
      </c>
      <c r="G136" s="785"/>
      <c r="H136" s="1618"/>
      <c r="I136" s="1618"/>
      <c r="J136" s="786">
        <v>0.02</v>
      </c>
      <c r="K136" s="35" t="str">
        <f t="shared" si="9"/>
        <v>  110  </v>
      </c>
      <c r="L136" s="787">
        <f t="shared" si="5"/>
        <v>0.02</v>
      </c>
      <c r="M136" s="765">
        <v>2011</v>
      </c>
      <c r="N136" s="765">
        <v>1</v>
      </c>
      <c r="O136" s="765">
        <v>1</v>
      </c>
      <c r="P136" s="765">
        <v>2011</v>
      </c>
      <c r="Q136" s="765">
        <v>12</v>
      </c>
      <c r="R136" s="765">
        <v>31</v>
      </c>
      <c r="U136" s="766" t="str">
        <f t="shared" si="6"/>
        <v>2011.1.1</v>
      </c>
      <c r="X136" s="766" t="str">
        <f t="shared" si="7"/>
        <v>2011.12.31</v>
      </c>
      <c r="Z136" s="766">
        <f t="shared" si="8"/>
        <v>365</v>
      </c>
    </row>
    <row r="137" spans="1:26" ht="12.75" hidden="1">
      <c r="A137" s="689">
        <v>137</v>
      </c>
      <c r="B137" s="784"/>
      <c r="C137" s="40" t="s">
        <v>8</v>
      </c>
      <c r="D137" s="788"/>
      <c r="E137" s="785"/>
      <c r="F137" s="788" t="s">
        <v>9</v>
      </c>
      <c r="G137" s="785"/>
      <c r="H137" s="1618"/>
      <c r="I137" s="1618"/>
      <c r="J137" s="786">
        <v>0.02</v>
      </c>
      <c r="K137" s="35" t="str">
        <f t="shared" si="9"/>
        <v>  111  </v>
      </c>
      <c r="L137" s="787">
        <f t="shared" si="5"/>
        <v>0.02</v>
      </c>
      <c r="M137" s="765">
        <v>2011</v>
      </c>
      <c r="N137" s="765">
        <v>1</v>
      </c>
      <c r="O137" s="765">
        <v>1</v>
      </c>
      <c r="P137" s="765">
        <v>2011</v>
      </c>
      <c r="Q137" s="765">
        <v>12</v>
      </c>
      <c r="R137" s="765">
        <v>31</v>
      </c>
      <c r="U137" s="766" t="str">
        <f t="shared" si="6"/>
        <v>2011.1.1</v>
      </c>
      <c r="X137" s="766" t="str">
        <f t="shared" si="7"/>
        <v>2011.12.31</v>
      </c>
      <c r="Z137" s="766">
        <f t="shared" si="8"/>
        <v>365</v>
      </c>
    </row>
    <row r="138" spans="1:26" ht="12.75" hidden="1">
      <c r="A138" s="689">
        <v>138</v>
      </c>
      <c r="B138" s="784"/>
      <c r="C138" s="40" t="s">
        <v>10</v>
      </c>
      <c r="D138" s="788"/>
      <c r="E138" s="785"/>
      <c r="F138" s="785" t="s">
        <v>11</v>
      </c>
      <c r="G138" s="785"/>
      <c r="H138" s="1618"/>
      <c r="I138" s="1618"/>
      <c r="J138" s="786">
        <v>0.02</v>
      </c>
      <c r="K138" s="35" t="str">
        <f t="shared" si="9"/>
        <v>  112  </v>
      </c>
      <c r="L138" s="787">
        <f t="shared" si="5"/>
        <v>0.02</v>
      </c>
      <c r="M138" s="765">
        <v>2011</v>
      </c>
      <c r="N138" s="765">
        <v>1</v>
      </c>
      <c r="O138" s="765">
        <v>1</v>
      </c>
      <c r="P138" s="765">
        <v>2011</v>
      </c>
      <c r="Q138" s="765">
        <v>12</v>
      </c>
      <c r="R138" s="765">
        <v>31</v>
      </c>
      <c r="U138" s="766" t="str">
        <f t="shared" si="6"/>
        <v>2011.1.1</v>
      </c>
      <c r="X138" s="766" t="str">
        <f t="shared" si="7"/>
        <v>2011.12.31</v>
      </c>
      <c r="Z138" s="766">
        <f t="shared" si="8"/>
        <v>365</v>
      </c>
    </row>
    <row r="139" spans="1:26" ht="12.75" hidden="1">
      <c r="A139" s="689">
        <v>139</v>
      </c>
      <c r="B139" s="784"/>
      <c r="C139" s="40" t="s">
        <v>12</v>
      </c>
      <c r="D139" s="788"/>
      <c r="E139" s="785"/>
      <c r="F139" s="785" t="s">
        <v>13</v>
      </c>
      <c r="G139" s="785"/>
      <c r="H139" s="1618"/>
      <c r="I139" s="1618"/>
      <c r="J139" s="786">
        <v>0.02</v>
      </c>
      <c r="K139" s="35" t="str">
        <f t="shared" si="9"/>
        <v>  113  </v>
      </c>
      <c r="L139" s="787">
        <f t="shared" si="5"/>
        <v>0.02</v>
      </c>
      <c r="M139" s="765">
        <v>2011</v>
      </c>
      <c r="N139" s="765">
        <v>1</v>
      </c>
      <c r="O139" s="765">
        <v>1</v>
      </c>
      <c r="P139" s="765">
        <v>2011</v>
      </c>
      <c r="Q139" s="765">
        <v>12</v>
      </c>
      <c r="R139" s="765">
        <v>31</v>
      </c>
      <c r="U139" s="766" t="str">
        <f t="shared" si="6"/>
        <v>2011.1.1</v>
      </c>
      <c r="X139" s="766" t="str">
        <f t="shared" si="7"/>
        <v>2011.12.31</v>
      </c>
      <c r="Z139" s="766">
        <f t="shared" si="8"/>
        <v>365</v>
      </c>
    </row>
    <row r="140" spans="1:26" ht="12.75" hidden="1">
      <c r="A140" s="689">
        <v>140</v>
      </c>
      <c r="B140" s="784"/>
      <c r="C140" s="40" t="s">
        <v>14</v>
      </c>
      <c r="D140" s="788"/>
      <c r="E140" s="785"/>
      <c r="F140" s="785" t="s">
        <v>15</v>
      </c>
      <c r="G140" s="785"/>
      <c r="H140" s="1618"/>
      <c r="I140" s="1618"/>
      <c r="J140" s="786">
        <v>0.02</v>
      </c>
      <c r="K140" s="35" t="str">
        <f t="shared" si="9"/>
        <v>  114  </v>
      </c>
      <c r="L140" s="787">
        <f t="shared" si="5"/>
        <v>0.02</v>
      </c>
      <c r="M140" s="765">
        <v>2011</v>
      </c>
      <c r="N140" s="765">
        <v>1</v>
      </c>
      <c r="O140" s="765">
        <v>1</v>
      </c>
      <c r="P140" s="765">
        <v>2011</v>
      </c>
      <c r="Q140" s="765">
        <v>12</v>
      </c>
      <c r="R140" s="765">
        <v>31</v>
      </c>
      <c r="U140" s="766" t="str">
        <f t="shared" si="6"/>
        <v>2011.1.1</v>
      </c>
      <c r="X140" s="766" t="str">
        <f t="shared" si="7"/>
        <v>2011.12.31</v>
      </c>
      <c r="Z140" s="766">
        <f t="shared" si="8"/>
        <v>365</v>
      </c>
    </row>
    <row r="141" spans="1:26" ht="12.75" hidden="1">
      <c r="A141" s="689">
        <v>141</v>
      </c>
      <c r="B141" s="784"/>
      <c r="C141" s="40" t="s">
        <v>16</v>
      </c>
      <c r="D141" s="788"/>
      <c r="E141" s="785"/>
      <c r="F141" s="788" t="s">
        <v>17</v>
      </c>
      <c r="G141" s="785"/>
      <c r="H141" s="1618"/>
      <c r="I141" s="1618"/>
      <c r="J141" s="786">
        <v>0.02</v>
      </c>
      <c r="K141" s="35" t="str">
        <f t="shared" si="9"/>
        <v>  115  </v>
      </c>
      <c r="L141" s="787">
        <f t="shared" si="5"/>
        <v>0.02</v>
      </c>
      <c r="M141" s="765">
        <v>2011</v>
      </c>
      <c r="N141" s="765">
        <v>1</v>
      </c>
      <c r="O141" s="765">
        <v>1</v>
      </c>
      <c r="P141" s="765">
        <v>2011</v>
      </c>
      <c r="Q141" s="765">
        <v>12</v>
      </c>
      <c r="R141" s="765">
        <v>31</v>
      </c>
      <c r="U141" s="766" t="str">
        <f t="shared" si="6"/>
        <v>2011.1.1</v>
      </c>
      <c r="X141" s="766" t="str">
        <f t="shared" si="7"/>
        <v>2011.12.31</v>
      </c>
      <c r="Z141" s="766">
        <f t="shared" si="8"/>
        <v>365</v>
      </c>
    </row>
    <row r="142" spans="1:26" ht="12.75" hidden="1">
      <c r="A142" s="689">
        <v>142</v>
      </c>
      <c r="B142" s="784"/>
      <c r="C142" s="40" t="s">
        <v>18</v>
      </c>
      <c r="D142" s="788"/>
      <c r="E142" s="785"/>
      <c r="F142" s="785" t="s">
        <v>19</v>
      </c>
      <c r="G142" s="785"/>
      <c r="H142" s="1618"/>
      <c r="I142" s="1618"/>
      <c r="J142" s="786">
        <v>0.02</v>
      </c>
      <c r="K142" s="35" t="str">
        <f t="shared" si="9"/>
        <v>  116  </v>
      </c>
      <c r="L142" s="787">
        <f t="shared" si="5"/>
        <v>0.02</v>
      </c>
      <c r="M142" s="765">
        <v>2011</v>
      </c>
      <c r="N142" s="765">
        <v>1</v>
      </c>
      <c r="O142" s="765">
        <v>1</v>
      </c>
      <c r="P142" s="765">
        <v>2011</v>
      </c>
      <c r="Q142" s="765">
        <v>12</v>
      </c>
      <c r="R142" s="765">
        <v>31</v>
      </c>
      <c r="U142" s="766" t="str">
        <f t="shared" si="6"/>
        <v>2011.1.1</v>
      </c>
      <c r="X142" s="766" t="str">
        <f t="shared" si="7"/>
        <v>2011.12.31</v>
      </c>
      <c r="Z142" s="766">
        <f t="shared" si="8"/>
        <v>365</v>
      </c>
    </row>
    <row r="143" spans="1:26" ht="12.75" hidden="1">
      <c r="A143" s="689">
        <v>143</v>
      </c>
      <c r="B143" s="784"/>
      <c r="C143" s="40" t="s">
        <v>20</v>
      </c>
      <c r="D143" s="788"/>
      <c r="E143" s="785"/>
      <c r="F143" s="785" t="s">
        <v>21</v>
      </c>
      <c r="G143" s="785"/>
      <c r="H143" s="1618"/>
      <c r="I143" s="1618"/>
      <c r="J143" s="786">
        <v>0.02</v>
      </c>
      <c r="K143" s="35" t="str">
        <f t="shared" si="9"/>
        <v>  117  </v>
      </c>
      <c r="L143" s="787">
        <f t="shared" si="5"/>
        <v>0.02</v>
      </c>
      <c r="M143" s="765">
        <v>2011</v>
      </c>
      <c r="N143" s="765">
        <v>1</v>
      </c>
      <c r="O143" s="765">
        <v>1</v>
      </c>
      <c r="P143" s="765">
        <v>2011</v>
      </c>
      <c r="Q143" s="765">
        <v>12</v>
      </c>
      <c r="R143" s="765">
        <v>31</v>
      </c>
      <c r="U143" s="766" t="str">
        <f t="shared" si="6"/>
        <v>2011.1.1</v>
      </c>
      <c r="X143" s="766" t="str">
        <f t="shared" si="7"/>
        <v>2011.12.31</v>
      </c>
      <c r="Z143" s="766">
        <f t="shared" si="8"/>
        <v>365</v>
      </c>
    </row>
    <row r="144" spans="1:26" ht="12.75" hidden="1">
      <c r="A144" s="689">
        <v>144</v>
      </c>
      <c r="B144" s="784"/>
      <c r="C144" s="40" t="s">
        <v>22</v>
      </c>
      <c r="D144" s="788"/>
      <c r="E144" s="785"/>
      <c r="F144" s="785" t="s">
        <v>23</v>
      </c>
      <c r="G144" s="785"/>
      <c r="H144" s="1618"/>
      <c r="I144" s="1618"/>
      <c r="J144" s="786">
        <v>0.02</v>
      </c>
      <c r="K144" s="35" t="str">
        <f t="shared" si="9"/>
        <v>  118  </v>
      </c>
      <c r="L144" s="787">
        <f t="shared" si="5"/>
        <v>0.02</v>
      </c>
      <c r="M144" s="765">
        <v>2011</v>
      </c>
      <c r="N144" s="765">
        <v>1</v>
      </c>
      <c r="O144" s="765">
        <v>1</v>
      </c>
      <c r="P144" s="765">
        <v>2011</v>
      </c>
      <c r="Q144" s="765">
        <v>12</v>
      </c>
      <c r="R144" s="765">
        <v>31</v>
      </c>
      <c r="U144" s="766" t="str">
        <f t="shared" si="6"/>
        <v>2011.1.1</v>
      </c>
      <c r="X144" s="766" t="str">
        <f t="shared" si="7"/>
        <v>2011.12.31</v>
      </c>
      <c r="Z144" s="766">
        <f t="shared" si="8"/>
        <v>365</v>
      </c>
    </row>
    <row r="145" spans="1:26" ht="12.75" hidden="1">
      <c r="A145" s="689">
        <v>145</v>
      </c>
      <c r="B145" s="784"/>
      <c r="C145" s="40" t="s">
        <v>37</v>
      </c>
      <c r="D145" s="788"/>
      <c r="E145" s="785"/>
      <c r="F145" s="788" t="s">
        <v>38</v>
      </c>
      <c r="G145" s="785"/>
      <c r="H145" s="1618"/>
      <c r="I145" s="1618"/>
      <c r="J145" s="786">
        <v>0.02</v>
      </c>
      <c r="K145" s="35" t="str">
        <f t="shared" si="9"/>
        <v>  119  </v>
      </c>
      <c r="L145" s="787">
        <f t="shared" si="5"/>
        <v>0.02</v>
      </c>
      <c r="M145" s="765">
        <v>2011</v>
      </c>
      <c r="N145" s="765">
        <v>1</v>
      </c>
      <c r="O145" s="765">
        <v>1</v>
      </c>
      <c r="P145" s="765">
        <v>2011</v>
      </c>
      <c r="Q145" s="765">
        <v>12</v>
      </c>
      <c r="R145" s="765">
        <v>31</v>
      </c>
      <c r="U145" s="766" t="str">
        <f t="shared" si="6"/>
        <v>2011.1.1</v>
      </c>
      <c r="X145" s="766" t="str">
        <f t="shared" si="7"/>
        <v>2011.12.31</v>
      </c>
      <c r="Z145" s="766">
        <f t="shared" si="8"/>
        <v>365</v>
      </c>
    </row>
    <row r="146" spans="1:26" ht="12.75" hidden="1">
      <c r="A146" s="689">
        <v>146</v>
      </c>
      <c r="B146" s="784"/>
      <c r="C146" s="40" t="s">
        <v>39</v>
      </c>
      <c r="D146" s="788"/>
      <c r="E146" s="785"/>
      <c r="F146" s="785" t="s">
        <v>40</v>
      </c>
      <c r="G146" s="785"/>
      <c r="H146" s="1618"/>
      <c r="I146" s="1618"/>
      <c r="J146" s="786">
        <v>0.02</v>
      </c>
      <c r="K146" s="35" t="str">
        <f t="shared" si="9"/>
        <v>  120  </v>
      </c>
      <c r="L146" s="787">
        <f t="shared" si="5"/>
        <v>0.02</v>
      </c>
      <c r="M146" s="765">
        <v>2011</v>
      </c>
      <c r="N146" s="765">
        <v>1</v>
      </c>
      <c r="O146" s="765">
        <v>1</v>
      </c>
      <c r="P146" s="765">
        <v>2011</v>
      </c>
      <c r="Q146" s="765">
        <v>12</v>
      </c>
      <c r="R146" s="765">
        <v>31</v>
      </c>
      <c r="U146" s="766" t="str">
        <f t="shared" si="6"/>
        <v>2011.1.1</v>
      </c>
      <c r="X146" s="766" t="str">
        <f t="shared" si="7"/>
        <v>2011.12.31</v>
      </c>
      <c r="Z146" s="766">
        <f t="shared" si="8"/>
        <v>365</v>
      </c>
    </row>
    <row r="147" spans="1:10" ht="15.75" customHeight="1" hidden="1">
      <c r="A147" s="1621" t="s">
        <v>42</v>
      </c>
      <c r="B147" s="1621"/>
      <c r="C147" s="1621"/>
      <c r="D147" s="1621"/>
      <c r="E147" s="1621"/>
      <c r="F147" s="1621"/>
      <c r="G147" s="1621"/>
      <c r="H147" s="1621"/>
      <c r="I147" s="1621"/>
      <c r="J147" s="1621"/>
    </row>
    <row r="148" spans="1:10" ht="12.75" customHeight="1" hidden="1">
      <c r="A148" s="1621"/>
      <c r="B148" s="1621"/>
      <c r="C148" s="1621"/>
      <c r="D148" s="1621"/>
      <c r="E148" s="1621"/>
      <c r="F148" s="1621"/>
      <c r="G148" s="1621"/>
      <c r="H148" s="1621"/>
      <c r="I148" s="1621"/>
      <c r="J148" s="1621"/>
    </row>
    <row r="149" spans="1:10" ht="12.75" customHeight="1" hidden="1">
      <c r="A149" s="1622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622"/>
      <c r="C149" s="1622"/>
      <c r="D149" s="1622"/>
      <c r="E149" s="1622"/>
      <c r="F149" s="1622"/>
      <c r="G149" s="1622"/>
      <c r="H149" s="1622"/>
      <c r="I149" s="1622"/>
      <c r="J149" s="1622"/>
    </row>
    <row r="150" spans="1:10" ht="12.75" customHeight="1" hidden="1">
      <c r="A150" s="1622"/>
      <c r="B150" s="1622"/>
      <c r="C150" s="1622"/>
      <c r="D150" s="1622"/>
      <c r="E150" s="1622"/>
      <c r="F150" s="1622"/>
      <c r="G150" s="1622"/>
      <c r="H150" s="1622"/>
      <c r="I150" s="1622"/>
      <c r="J150" s="1622"/>
    </row>
    <row r="151" spans="1:12" ht="12.75" hidden="1">
      <c r="A151" s="25"/>
      <c r="B151" s="1615" t="s">
        <v>43</v>
      </c>
      <c r="C151" s="1615"/>
      <c r="D151" s="789">
        <v>2012</v>
      </c>
      <c r="E151" s="790"/>
      <c r="F151" s="791">
        <v>5</v>
      </c>
      <c r="G151" s="790"/>
      <c r="H151" s="789">
        <v>30</v>
      </c>
      <c r="I151" s="42"/>
      <c r="J151" s="42"/>
      <c r="L151" s="43">
        <f>'1. oldal'!AL26</f>
        <v>0</v>
      </c>
    </row>
    <row r="152" spans="1:10" ht="12.75" hidden="1">
      <c r="A152" s="25"/>
      <c r="B152" s="25"/>
      <c r="C152" s="1619"/>
      <c r="D152" s="1619"/>
      <c r="E152" s="1619"/>
      <c r="F152" s="1619"/>
      <c r="G152" s="1619"/>
      <c r="H152" s="1619"/>
      <c r="I152" s="1619"/>
      <c r="J152" s="1619"/>
    </row>
    <row r="153" spans="1:10" ht="21.75" customHeight="1" hidden="1">
      <c r="A153" s="25"/>
      <c r="B153" s="1620" t="s">
        <v>44</v>
      </c>
      <c r="C153" s="1620"/>
      <c r="D153" s="1620"/>
      <c r="E153" s="1620"/>
      <c r="F153" s="1620"/>
      <c r="G153" s="1620"/>
      <c r="H153" s="1620"/>
      <c r="I153" s="1620"/>
      <c r="J153" s="1620"/>
    </row>
    <row r="154" spans="1:10" ht="12.75" hidden="1">
      <c r="A154" s="25"/>
      <c r="B154" s="25"/>
      <c r="C154" s="1619"/>
      <c r="D154" s="1619"/>
      <c r="E154" s="1619"/>
      <c r="F154" s="1619"/>
      <c r="G154" s="1619"/>
      <c r="H154" s="1619"/>
      <c r="I154" s="1619"/>
      <c r="J154" s="1619"/>
    </row>
    <row r="155" spans="1:18" ht="18" hidden="1">
      <c r="A155" s="25"/>
      <c r="B155" s="1615" t="s">
        <v>45</v>
      </c>
      <c r="C155" s="1615"/>
      <c r="D155" s="44">
        <v>1</v>
      </c>
      <c r="F155" s="45"/>
      <c r="G155" s="45"/>
      <c r="H155" s="45"/>
      <c r="I155" s="45"/>
      <c r="J155" s="45"/>
      <c r="K155" s="46" t="e">
        <f>VLOOKUP(1,B26:K46,20)</f>
        <v>#REF!</v>
      </c>
      <c r="L155" s="47"/>
      <c r="M155" s="47"/>
      <c r="N155" s="47"/>
      <c r="O155" s="47"/>
      <c r="P155" s="47"/>
      <c r="Q155" s="47"/>
      <c r="R155" s="47"/>
    </row>
    <row r="156" spans="1:11" ht="18" hidden="1">
      <c r="A156" s="25"/>
      <c r="B156" s="1615" t="s">
        <v>46</v>
      </c>
      <c r="C156" s="1615"/>
      <c r="D156" s="44"/>
      <c r="F156" s="45"/>
      <c r="G156" s="45"/>
      <c r="H156" s="45"/>
      <c r="I156" s="45"/>
      <c r="J156" s="45"/>
      <c r="K156" s="46" t="e">
        <f>VLOOKUP(1,B26:K46,21)</f>
        <v>#REF!</v>
      </c>
    </row>
    <row r="157" spans="1:11" ht="18" hidden="1">
      <c r="A157" s="25"/>
      <c r="B157" s="1615" t="s">
        <v>47</v>
      </c>
      <c r="C157" s="1615"/>
      <c r="D157" s="44"/>
      <c r="F157" s="45"/>
      <c r="G157" s="45"/>
      <c r="H157" s="45"/>
      <c r="I157" s="45"/>
      <c r="J157" s="45"/>
      <c r="K157" s="46" t="e">
        <f>VLOOKUP(1,B26:K147,24)</f>
        <v>#REF!</v>
      </c>
    </row>
    <row r="158" spans="1:10" ht="18" hidden="1">
      <c r="A158" s="25"/>
      <c r="B158" s="1616">
        <f>IF(ABS(D155)+ABS(D156)+ABS(D157)&gt;1,"ÉRVÉNYTELEN PARAMÉTER !!","")</f>
      </c>
      <c r="C158" s="1616"/>
      <c r="D158" s="49"/>
      <c r="F158" s="45"/>
      <c r="G158" s="45"/>
      <c r="H158" s="45"/>
      <c r="I158" s="45"/>
      <c r="J158" s="45"/>
    </row>
    <row r="159" spans="1:10" ht="12.75" hidden="1">
      <c r="A159" s="25"/>
      <c r="B159" s="25"/>
      <c r="C159" s="25"/>
      <c r="D159" s="25"/>
      <c r="F159" s="25"/>
      <c r="G159" s="25"/>
      <c r="H159" s="50"/>
      <c r="I159" s="50"/>
      <c r="J159" s="50"/>
    </row>
    <row r="160" spans="1:10" ht="30.75" customHeight="1" hidden="1">
      <c r="A160" s="51" t="s">
        <v>48</v>
      </c>
      <c r="B160" s="1617" t="s">
        <v>829</v>
      </c>
      <c r="C160" s="1617"/>
      <c r="D160" s="792"/>
      <c r="F160" s="34"/>
      <c r="G160" s="25"/>
      <c r="H160" s="52"/>
      <c r="I160" s="53" t="s">
        <v>49</v>
      </c>
      <c r="J160" s="52"/>
    </row>
    <row r="161" spans="1:10" ht="15.75" customHeight="1" hidden="1">
      <c r="A161" s="54" t="s">
        <v>50</v>
      </c>
      <c r="B161" s="1614" t="s">
        <v>51</v>
      </c>
      <c r="C161" s="1614"/>
      <c r="D161" s="792"/>
      <c r="F161" s="34"/>
      <c r="G161" s="25"/>
      <c r="H161" s="55" t="s">
        <v>52</v>
      </c>
      <c r="I161" s="52">
        <v>88</v>
      </c>
      <c r="J161" s="52" t="s">
        <v>53</v>
      </c>
    </row>
    <row r="162" spans="1:10" ht="15.75" customHeight="1" hidden="1">
      <c r="A162" s="54" t="s">
        <v>54</v>
      </c>
      <c r="B162" s="1614" t="s">
        <v>830</v>
      </c>
      <c r="C162" s="1614"/>
      <c r="D162" s="792"/>
      <c r="F162" s="1614" t="s">
        <v>55</v>
      </c>
      <c r="G162" s="1614"/>
      <c r="H162" s="792"/>
      <c r="I162" s="52">
        <v>88</v>
      </c>
      <c r="J162" s="52" t="s">
        <v>53</v>
      </c>
    </row>
    <row r="163" spans="1:10" ht="15.75" customHeight="1" hidden="1">
      <c r="A163" s="54" t="s">
        <v>56</v>
      </c>
      <c r="B163" s="1615" t="s">
        <v>815</v>
      </c>
      <c r="C163" s="1615"/>
      <c r="D163" s="792"/>
      <c r="F163" s="25"/>
      <c r="G163" s="25"/>
      <c r="H163" s="50"/>
      <c r="I163" s="50"/>
      <c r="J163" s="50"/>
    </row>
    <row r="164" spans="1:10" ht="15.75" customHeight="1" hidden="1">
      <c r="A164" s="54" t="s">
        <v>57</v>
      </c>
      <c r="B164" s="56" t="s">
        <v>831</v>
      </c>
      <c r="C164" s="57"/>
      <c r="D164" s="792"/>
      <c r="F164" s="25"/>
      <c r="G164" s="25"/>
      <c r="H164" s="25"/>
      <c r="I164" s="25"/>
      <c r="J164" s="25"/>
    </row>
    <row r="165" spans="1:10" ht="12.75" hidden="1">
      <c r="A165" s="38"/>
      <c r="B165" s="25"/>
      <c r="C165" s="25"/>
      <c r="D165" s="25"/>
      <c r="F165" s="25"/>
      <c r="G165" s="25"/>
      <c r="H165" s="25"/>
      <c r="I165" s="25"/>
      <c r="J165" s="25"/>
    </row>
    <row r="166" spans="1:10" ht="12.75" hidden="1">
      <c r="A166" s="38"/>
      <c r="B166" s="25"/>
      <c r="C166" s="25"/>
      <c r="D166" s="25"/>
      <c r="F166" s="25"/>
      <c r="G166" s="25"/>
      <c r="H166" s="25"/>
      <c r="I166" s="25"/>
      <c r="J166" s="25"/>
    </row>
    <row r="167" spans="1:10" ht="15.75" hidden="1">
      <c r="A167" s="54" t="s">
        <v>752</v>
      </c>
      <c r="B167" s="1614" t="s">
        <v>58</v>
      </c>
      <c r="C167" s="1614"/>
      <c r="D167" s="792"/>
      <c r="F167" s="25"/>
      <c r="G167" s="25"/>
      <c r="H167" s="25"/>
      <c r="I167" s="25"/>
      <c r="J167" s="25"/>
    </row>
    <row r="168" spans="1:10" ht="15.75" hidden="1">
      <c r="A168" s="54"/>
      <c r="B168" s="1614" t="s">
        <v>59</v>
      </c>
      <c r="C168" s="1614"/>
      <c r="D168" s="792" t="s">
        <v>828</v>
      </c>
      <c r="F168" s="25"/>
      <c r="G168" s="25"/>
      <c r="H168" s="25"/>
      <c r="I168" s="25"/>
      <c r="J168" s="25"/>
    </row>
    <row r="169" spans="1:10" ht="15.75" hidden="1">
      <c r="A169" s="54"/>
      <c r="B169" s="1614" t="s">
        <v>60</v>
      </c>
      <c r="C169" s="1614"/>
      <c r="D169" s="792"/>
      <c r="F169" s="25"/>
      <c r="G169" s="25"/>
      <c r="H169" s="25"/>
      <c r="I169" s="25"/>
      <c r="J169" s="25"/>
    </row>
    <row r="170" spans="1:10" ht="15.75" hidden="1">
      <c r="A170" s="54"/>
      <c r="B170" s="1614" t="s">
        <v>61</v>
      </c>
      <c r="C170" s="1614"/>
      <c r="D170" s="792"/>
      <c r="F170" s="25"/>
      <c r="G170" s="25"/>
      <c r="H170" s="25"/>
      <c r="I170" s="25"/>
      <c r="J170" s="25"/>
    </row>
    <row r="171" spans="1:10" ht="12.75" hidden="1">
      <c r="A171" s="25"/>
      <c r="B171" s="25"/>
      <c r="C171" s="25"/>
      <c r="D171" s="25"/>
      <c r="F171" s="25"/>
      <c r="G171" s="25"/>
      <c r="H171" s="25"/>
      <c r="I171" s="25"/>
      <c r="J171" s="25"/>
    </row>
    <row r="172" spans="1:10" ht="12.75" hidden="1">
      <c r="A172" s="25"/>
      <c r="B172" s="25"/>
      <c r="C172" s="25"/>
      <c r="D172" s="25"/>
      <c r="F172" s="25"/>
      <c r="G172" s="25"/>
      <c r="H172" s="25"/>
      <c r="I172" s="25"/>
      <c r="J172" s="25"/>
    </row>
    <row r="173" spans="1:10" ht="12.75" hidden="1">
      <c r="A173" s="25"/>
      <c r="B173" s="25"/>
      <c r="C173" s="25"/>
      <c r="D173" s="25"/>
      <c r="F173" s="25"/>
      <c r="G173" s="25"/>
      <c r="H173" s="25"/>
      <c r="I173" s="25"/>
      <c r="J173" s="25"/>
    </row>
    <row r="174" spans="1:10" ht="15.75" hidden="1">
      <c r="A174" s="25"/>
      <c r="B174" s="1614" t="s">
        <v>62</v>
      </c>
      <c r="C174" s="1614"/>
      <c r="D174" s="792" t="s">
        <v>63</v>
      </c>
      <c r="F174" s="25" t="s">
        <v>64</v>
      </c>
      <c r="G174" s="25"/>
      <c r="H174" s="25"/>
      <c r="I174" s="25"/>
      <c r="J174" s="25"/>
    </row>
    <row r="175" spans="1:10" ht="15.75" hidden="1">
      <c r="A175" s="25"/>
      <c r="B175" s="25"/>
      <c r="C175" s="25"/>
      <c r="D175" s="792"/>
      <c r="F175" s="25" t="s">
        <v>65</v>
      </c>
      <c r="G175" s="25"/>
      <c r="H175" s="25"/>
      <c r="I175" s="25"/>
      <c r="J175" s="25"/>
    </row>
    <row r="176" spans="1:10" ht="12.75" hidden="1">
      <c r="A176" s="25"/>
      <c r="B176" s="25"/>
      <c r="C176" s="25"/>
      <c r="D176" s="25"/>
      <c r="F176" s="25"/>
      <c r="G176" s="25"/>
      <c r="H176" s="25"/>
      <c r="I176" s="25"/>
      <c r="J176" s="25"/>
    </row>
    <row r="177" spans="1:10" ht="12.75" hidden="1">
      <c r="A177" s="25"/>
      <c r="B177" s="25"/>
      <c r="C177" s="25"/>
      <c r="D177" s="25"/>
      <c r="F177" s="25"/>
      <c r="G177" s="25"/>
      <c r="H177" s="25"/>
      <c r="I177" s="25"/>
      <c r="J177" s="25"/>
    </row>
    <row r="178" spans="1:10" ht="12.75" hidden="1">
      <c r="A178" s="25"/>
      <c r="B178" s="25"/>
      <c r="C178" s="25"/>
      <c r="D178" s="25"/>
      <c r="F178" s="25"/>
      <c r="G178" s="25"/>
      <c r="H178" s="25"/>
      <c r="I178" s="25"/>
      <c r="J178" s="25"/>
    </row>
    <row r="179" spans="1:10" ht="12.75" hidden="1">
      <c r="A179" s="25"/>
      <c r="B179" s="25"/>
      <c r="C179" s="25"/>
      <c r="D179" s="25"/>
      <c r="F179" s="25"/>
      <c r="G179" s="25"/>
      <c r="H179" s="25"/>
      <c r="I179" s="25"/>
      <c r="J179" s="25"/>
    </row>
    <row r="180" spans="1:10" ht="12.75" hidden="1">
      <c r="A180" s="25"/>
      <c r="B180" s="25"/>
      <c r="C180" s="25"/>
      <c r="D180" s="25"/>
      <c r="F180" s="25"/>
      <c r="G180" s="25"/>
      <c r="H180" s="25"/>
      <c r="I180" s="25"/>
      <c r="J180" s="25"/>
    </row>
    <row r="181" spans="1:10" ht="12.75" hidden="1">
      <c r="A181" s="25"/>
      <c r="B181" s="25"/>
      <c r="C181" s="25"/>
      <c r="D181" s="25"/>
      <c r="F181" s="25"/>
      <c r="G181" s="25"/>
      <c r="H181" s="25"/>
      <c r="I181" s="25"/>
      <c r="J181" s="25"/>
    </row>
    <row r="182" spans="1:18" ht="12.75" hidden="1">
      <c r="A182" s="25"/>
      <c r="B182" s="25">
        <v>1</v>
      </c>
      <c r="C182" s="25"/>
      <c r="D182" s="25"/>
      <c r="F182" s="25">
        <f>VLOOKUP($B182,$B26:$R146,1)</f>
        <v>1</v>
      </c>
      <c r="G182" s="25">
        <f>VLOOKUP($B182,$D26:$R146,1)</f>
        <v>1</v>
      </c>
      <c r="H182" s="25">
        <f>VLOOKUP($B182,$B26:$R146,3)</f>
        <v>1</v>
      </c>
      <c r="I182" s="25" t="str">
        <f>VLOOKUP($B182,$B26:$R146,4)</f>
        <v> </v>
      </c>
      <c r="J182" s="25" t="str">
        <f>VLOOKUP($B182,$B26:$R146,5)</f>
        <v>Szabadszállás</v>
      </c>
      <c r="K182" s="25" t="str">
        <f>VLOOKUP($B182,$D26:$R146,3)</f>
        <v>Szabadszállás</v>
      </c>
      <c r="L182" s="567">
        <f>VLOOKUP($B182,$B26:$R146,7)</f>
        <v>1</v>
      </c>
      <c r="M182" s="47">
        <f>VLOOKUP($B182,$B26:$R146,12)</f>
        <v>2011</v>
      </c>
      <c r="N182" s="25">
        <f>VLOOKUP($B182,$B26:$R146,13)</f>
        <v>1</v>
      </c>
      <c r="O182" s="25">
        <f>VLOOKUP($B182,$B26:$R146,14)</f>
        <v>1</v>
      </c>
      <c r="P182" s="25">
        <f>VLOOKUP($B182,$B26:$R146,15)</f>
        <v>2011</v>
      </c>
      <c r="Q182" s="25">
        <f>VLOOKUP($B182,$B26:$R146,16)</f>
        <v>12</v>
      </c>
      <c r="R182" s="25">
        <f>VLOOKUP($B182,$B26:$R146,17)</f>
        <v>31</v>
      </c>
    </row>
    <row r="183" spans="1:10" ht="12.75" hidden="1">
      <c r="A183" s="25"/>
      <c r="B183" s="25"/>
      <c r="C183" s="25"/>
      <c r="D183" s="25"/>
      <c r="F183" s="25"/>
      <c r="G183" s="25"/>
      <c r="H183" s="25"/>
      <c r="I183" s="25"/>
      <c r="J183" s="25"/>
    </row>
    <row r="184" spans="1:10" ht="12.75" hidden="1">
      <c r="A184" s="25"/>
      <c r="B184" s="25"/>
      <c r="C184" s="25"/>
      <c r="D184" s="25"/>
      <c r="F184" s="25"/>
      <c r="G184" s="25"/>
      <c r="H184" s="25"/>
      <c r="I184" s="25"/>
      <c r="J184" s="25"/>
    </row>
    <row r="185" spans="1:10" ht="12.75" hidden="1">
      <c r="A185" s="25"/>
      <c r="B185" s="25"/>
      <c r="C185" s="25"/>
      <c r="D185" s="25"/>
      <c r="F185" s="25"/>
      <c r="G185" s="25"/>
      <c r="H185" s="25"/>
      <c r="I185" s="25"/>
      <c r="J185" s="25"/>
    </row>
    <row r="186" spans="1:10" ht="12.75" hidden="1">
      <c r="A186" s="25"/>
      <c r="B186" s="25"/>
      <c r="C186" s="25"/>
      <c r="D186" s="25"/>
      <c r="F186" s="25"/>
      <c r="G186" s="25"/>
      <c r="H186" s="25"/>
      <c r="I186" s="25"/>
      <c r="J186" s="25"/>
    </row>
    <row r="187" spans="1:10" ht="12.75" hidden="1">
      <c r="A187" s="25"/>
      <c r="B187" s="25"/>
      <c r="C187" s="25"/>
      <c r="D187" s="25"/>
      <c r="F187" s="25"/>
      <c r="G187" s="25"/>
      <c r="H187" s="25"/>
      <c r="I187" s="25"/>
      <c r="J187" s="25"/>
    </row>
    <row r="188" spans="1:10" ht="12.75" hidden="1">
      <c r="A188" s="25"/>
      <c r="B188" s="25"/>
      <c r="C188" s="25"/>
      <c r="D188" s="25"/>
      <c r="F188" s="25"/>
      <c r="G188" s="25"/>
      <c r="H188" s="25"/>
      <c r="I188" s="25"/>
      <c r="J188" s="25"/>
    </row>
    <row r="189" spans="1:10" ht="12.75" hidden="1">
      <c r="A189" s="25"/>
      <c r="B189" s="25"/>
      <c r="C189" s="25"/>
      <c r="D189" s="25"/>
      <c r="F189" s="25"/>
      <c r="G189" s="25"/>
      <c r="H189" s="25"/>
      <c r="I189" s="25"/>
      <c r="J189" s="25"/>
    </row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password="C1DD" sheet="1" objects="1" scenarios="1"/>
  <mergeCells count="179">
    <mergeCell ref="A4:J5"/>
    <mergeCell ref="B6:C6"/>
    <mergeCell ref="D6:J6"/>
    <mergeCell ref="A1:F2"/>
    <mergeCell ref="I1:J1"/>
    <mergeCell ref="B3:C3"/>
    <mergeCell ref="F3:J3"/>
    <mergeCell ref="B7:C7"/>
    <mergeCell ref="D7:J7"/>
    <mergeCell ref="B16:C16"/>
    <mergeCell ref="H16:J16"/>
    <mergeCell ref="B10:C10"/>
    <mergeCell ref="H10:J10"/>
    <mergeCell ref="B8:C8"/>
    <mergeCell ref="B9:C9"/>
    <mergeCell ref="D9:J9"/>
    <mergeCell ref="M12:R12"/>
    <mergeCell ref="B13:C13"/>
    <mergeCell ref="D13:J13"/>
    <mergeCell ref="D15:H15"/>
    <mergeCell ref="I15:J15"/>
    <mergeCell ref="D14:J14"/>
    <mergeCell ref="B15:C15"/>
    <mergeCell ref="H28:I28"/>
    <mergeCell ref="B11:C11"/>
    <mergeCell ref="H11:J11"/>
    <mergeCell ref="B12:C12"/>
    <mergeCell ref="D12:J12"/>
    <mergeCell ref="B14:C14"/>
    <mergeCell ref="H27:I27"/>
    <mergeCell ref="A25:J25"/>
    <mergeCell ref="H26:I26"/>
    <mergeCell ref="D20:J20"/>
    <mergeCell ref="B21:C21"/>
    <mergeCell ref="A22:J23"/>
    <mergeCell ref="A17:A21"/>
    <mergeCell ref="D17:H17"/>
    <mergeCell ref="H29:I29"/>
    <mergeCell ref="H30:I30"/>
    <mergeCell ref="H31:I31"/>
    <mergeCell ref="H32:I32"/>
    <mergeCell ref="H39:I39"/>
    <mergeCell ref="H40:I40"/>
    <mergeCell ref="I17:J17"/>
    <mergeCell ref="C24:J24"/>
    <mergeCell ref="H35:I35"/>
    <mergeCell ref="H36:I36"/>
    <mergeCell ref="D18:J18"/>
    <mergeCell ref="D19:J19"/>
    <mergeCell ref="H33:I33"/>
    <mergeCell ref="H34:I34"/>
    <mergeCell ref="H37:I37"/>
    <mergeCell ref="H38:I38"/>
    <mergeCell ref="H47:I47"/>
    <mergeCell ref="H48:I48"/>
    <mergeCell ref="H41:I41"/>
    <mergeCell ref="H42:I42"/>
    <mergeCell ref="H43:I43"/>
    <mergeCell ref="H44:I44"/>
    <mergeCell ref="H45:I45"/>
    <mergeCell ref="H46:I46"/>
    <mergeCell ref="H59:I59"/>
    <mergeCell ref="H60:I60"/>
    <mergeCell ref="H63:I63"/>
    <mergeCell ref="H64:I64"/>
    <mergeCell ref="H61:I61"/>
    <mergeCell ref="H62:I62"/>
    <mergeCell ref="H49:I49"/>
    <mergeCell ref="H50:I50"/>
    <mergeCell ref="H57:I57"/>
    <mergeCell ref="H58:I58"/>
    <mergeCell ref="H53:I53"/>
    <mergeCell ref="H54:I54"/>
    <mergeCell ref="H55:I55"/>
    <mergeCell ref="H56:I56"/>
    <mergeCell ref="H51:I51"/>
    <mergeCell ref="H52:I52"/>
    <mergeCell ref="H65:I65"/>
    <mergeCell ref="H66:I66"/>
    <mergeCell ref="H67:I67"/>
    <mergeCell ref="H68:I68"/>
    <mergeCell ref="H69:I69"/>
    <mergeCell ref="H70:I70"/>
    <mergeCell ref="H71:I71"/>
    <mergeCell ref="H72:I72"/>
    <mergeCell ref="H95:I95"/>
    <mergeCell ref="H96:I96"/>
    <mergeCell ref="H89:I89"/>
    <mergeCell ref="H90:I90"/>
    <mergeCell ref="H91:I91"/>
    <mergeCell ref="H92:I92"/>
    <mergeCell ref="H81:I81"/>
    <mergeCell ref="H82:I82"/>
    <mergeCell ref="H75:I75"/>
    <mergeCell ref="H76:I76"/>
    <mergeCell ref="H73:I73"/>
    <mergeCell ref="H74:I74"/>
    <mergeCell ref="H87:I87"/>
    <mergeCell ref="H88:I88"/>
    <mergeCell ref="H77:I77"/>
    <mergeCell ref="H78:I78"/>
    <mergeCell ref="H79:I79"/>
    <mergeCell ref="H80:I80"/>
    <mergeCell ref="H83:I83"/>
    <mergeCell ref="H84:I84"/>
    <mergeCell ref="H107:I107"/>
    <mergeCell ref="H108:I108"/>
    <mergeCell ref="H101:I101"/>
    <mergeCell ref="H102:I102"/>
    <mergeCell ref="H103:I103"/>
    <mergeCell ref="H104:I104"/>
    <mergeCell ref="H85:I85"/>
    <mergeCell ref="H86:I86"/>
    <mergeCell ref="H105:I105"/>
    <mergeCell ref="H106:I106"/>
    <mergeCell ref="H99:I99"/>
    <mergeCell ref="H100:I100"/>
    <mergeCell ref="H97:I97"/>
    <mergeCell ref="H98:I98"/>
    <mergeCell ref="H93:I93"/>
    <mergeCell ref="H94:I94"/>
    <mergeCell ref="H111:I111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17:I117"/>
    <mergeCell ref="H118:I118"/>
    <mergeCell ref="H129:I129"/>
    <mergeCell ref="H130:I130"/>
    <mergeCell ref="H109:I109"/>
    <mergeCell ref="H110:I110"/>
    <mergeCell ref="H123:I123"/>
    <mergeCell ref="H124:I124"/>
    <mergeCell ref="H113:I113"/>
    <mergeCell ref="H114:I114"/>
    <mergeCell ref="H115:I115"/>
    <mergeCell ref="H116:I116"/>
    <mergeCell ref="H121:I121"/>
    <mergeCell ref="H122:I122"/>
    <mergeCell ref="H135:I135"/>
    <mergeCell ref="H136:I136"/>
    <mergeCell ref="H133:I133"/>
    <mergeCell ref="H134:I134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B168:C168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56:C156"/>
    <mergeCell ref="B169:C169"/>
    <mergeCell ref="B170:C170"/>
    <mergeCell ref="B174:C174"/>
    <mergeCell ref="B157:C157"/>
    <mergeCell ref="B158:C158"/>
    <mergeCell ref="B160:C160"/>
    <mergeCell ref="B161:C161"/>
    <mergeCell ref="B162:C162"/>
    <mergeCell ref="B163:C163"/>
    <mergeCell ref="B167:C167"/>
  </mergeCells>
  <hyperlinks>
    <hyperlink ref="M12" r:id="rId1" display="http://portal.ksh.hu/pls/portal/vb.teaor_main.gszr_main2?tsz="/>
  </hyperlinks>
  <printOptions/>
  <pageMargins left="0.75" right="0.75" top="1" bottom="1" header="0.5118055555555556" footer="0.5118055555555556"/>
  <pageSetup horizontalDpi="300" verticalDpi="300" orientation="landscape" paperSize="9" scale="75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213"/>
  <sheetViews>
    <sheetView zoomScalePageLayoutView="0" workbookViewId="0" topLeftCell="DR197">
      <pane xSplit="7680" ySplit="900" topLeftCell="B197" activePane="bottomLeft" state="split"/>
      <selection pane="topLeft" activeCell="DR198" sqref="A198:IV198"/>
      <selection pane="topRight" activeCell="F24" sqref="F24"/>
      <selection pane="bottomLeft" activeCell="DR196" sqref="A1:IV196"/>
      <selection pane="bottomRight" activeCell="I31" sqref="I31"/>
    </sheetView>
  </sheetViews>
  <sheetFormatPr defaultColWidth="9.140625" defaultRowHeight="12.75"/>
  <cols>
    <col min="1" max="1" width="0" style="25" hidden="1" customWidth="1"/>
    <col min="2" max="2" width="18.140625" style="58" customWidth="1"/>
    <col min="3" max="3" width="3.28125" style="58" customWidth="1"/>
    <col min="4" max="4" width="48.00390625" style="25" customWidth="1"/>
    <col min="5" max="5" width="0" style="25" hidden="1" customWidth="1"/>
    <col min="6" max="6" width="19.140625" style="25" customWidth="1"/>
    <col min="7" max="7" width="20.00390625" style="25" customWidth="1"/>
    <col min="8" max="10" width="13.28125" style="25" customWidth="1"/>
    <col min="11" max="11" width="17.28125" style="25" customWidth="1"/>
    <col min="12" max="12" width="13.7109375" style="25" customWidth="1"/>
    <col min="13" max="127" width="13.28125" style="25" customWidth="1"/>
    <col min="128" max="128" width="9.57421875" style="25" customWidth="1"/>
    <col min="129" max="16384" width="9.140625" style="25" customWidth="1"/>
  </cols>
  <sheetData>
    <row r="1" spans="2:128" ht="12.75" hidden="1">
      <c r="B1" s="38"/>
      <c r="C1" s="38"/>
      <c r="D1" s="38"/>
      <c r="E1" s="38"/>
      <c r="F1" s="38"/>
      <c r="G1" s="38"/>
      <c r="H1" s="27"/>
      <c r="I1" s="59"/>
      <c r="J1" s="59"/>
      <c r="K1" s="60"/>
      <c r="L1" s="60"/>
      <c r="M1" s="60"/>
      <c r="N1" s="60"/>
      <c r="O1" s="60"/>
      <c r="P1" s="60"/>
      <c r="Q1" s="60"/>
      <c r="R1" s="27"/>
      <c r="S1" s="61"/>
      <c r="T1" s="61"/>
      <c r="U1" s="61"/>
      <c r="V1" s="61"/>
      <c r="W1" s="61"/>
      <c r="X1" s="61"/>
      <c r="Y1" s="27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</row>
    <row r="2" spans="2:127" ht="18" hidden="1">
      <c r="B2" s="62"/>
      <c r="C2" s="62"/>
      <c r="D2" s="63" t="s">
        <v>441</v>
      </c>
      <c r="E2" s="63"/>
      <c r="F2" s="63"/>
      <c r="G2" s="38"/>
      <c r="H2" s="38"/>
      <c r="I2" s="62" t="s">
        <v>442</v>
      </c>
      <c r="J2" s="38"/>
      <c r="K2" s="62" t="s">
        <v>442</v>
      </c>
      <c r="L2" s="38"/>
      <c r="M2" s="62" t="s">
        <v>442</v>
      </c>
      <c r="N2" s="728" t="s">
        <v>425</v>
      </c>
      <c r="O2" s="728"/>
      <c r="P2" s="728"/>
      <c r="Q2" s="728" t="s">
        <v>506</v>
      </c>
      <c r="R2" s="728"/>
      <c r="S2" s="728"/>
      <c r="T2" s="728"/>
      <c r="U2" s="728"/>
      <c r="V2" s="728"/>
      <c r="W2" s="728"/>
      <c r="X2" s="728"/>
      <c r="Y2" s="728"/>
      <c r="Z2" s="72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</row>
    <row r="3" spans="2:127" ht="18.75" hidden="1" thickBot="1">
      <c r="B3" s="62"/>
      <c r="C3" s="62"/>
      <c r="D3" s="63"/>
      <c r="E3" s="63"/>
      <c r="F3" s="63"/>
      <c r="G3" s="38"/>
      <c r="H3" s="38"/>
      <c r="I3" s="745" t="s">
        <v>451</v>
      </c>
      <c r="J3" s="38"/>
      <c r="K3" s="38"/>
      <c r="L3" s="38"/>
      <c r="M3" s="38"/>
      <c r="N3" s="728" t="s">
        <v>426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</row>
    <row r="4" spans="2:127" ht="15" hidden="1">
      <c r="B4" s="62"/>
      <c r="C4" s="62"/>
      <c r="D4" s="64" t="s">
        <v>66</v>
      </c>
      <c r="E4" s="65"/>
      <c r="F4" s="65"/>
      <c r="G4" s="66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</row>
    <row r="5" spans="2:127" ht="45.75" customHeight="1" hidden="1" thickBot="1">
      <c r="B5" s="62"/>
      <c r="C5" s="62"/>
      <c r="D5" s="1178" t="s">
        <v>67</v>
      </c>
      <c r="E5" s="1178"/>
      <c r="F5" s="1178"/>
      <c r="G5" s="739">
        <f>G6-G7-G8-K6-K7-K8-K9</f>
        <v>0</v>
      </c>
      <c r="H5" s="31"/>
      <c r="I5" s="67" t="s">
        <v>68</v>
      </c>
      <c r="J5" s="38"/>
      <c r="K5" s="38"/>
      <c r="L5" s="38"/>
      <c r="M5" s="38"/>
      <c r="N5" s="1161" t="s">
        <v>429</v>
      </c>
      <c r="O5" s="1161"/>
      <c r="P5" s="1161"/>
      <c r="Q5" s="731">
        <f>Q6</f>
        <v>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</row>
    <row r="6" spans="2:127" ht="45.75" customHeight="1" hidden="1" thickBot="1">
      <c r="B6" s="62"/>
      <c r="C6" s="62"/>
      <c r="D6" s="1179" t="s">
        <v>69</v>
      </c>
      <c r="E6" s="1179"/>
      <c r="F6" s="1179"/>
      <c r="G6" s="740"/>
      <c r="H6" s="1183" t="s">
        <v>70</v>
      </c>
      <c r="I6" s="1183"/>
      <c r="J6" s="1183"/>
      <c r="K6" s="730"/>
      <c r="L6" s="38"/>
      <c r="M6" s="38"/>
      <c r="N6" s="1171" t="s">
        <v>430</v>
      </c>
      <c r="O6" s="1172"/>
      <c r="P6" s="1160"/>
      <c r="Q6" s="73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</row>
    <row r="7" spans="2:127" ht="36.75" customHeight="1" hidden="1" thickBot="1">
      <c r="B7" s="62"/>
      <c r="C7" s="62"/>
      <c r="D7" s="1178" t="s">
        <v>71</v>
      </c>
      <c r="E7" s="1178"/>
      <c r="F7" s="1178"/>
      <c r="G7" s="741"/>
      <c r="H7" s="1184" t="s">
        <v>83</v>
      </c>
      <c r="I7" s="1184"/>
      <c r="J7" s="1184"/>
      <c r="K7" s="743"/>
      <c r="L7" s="68"/>
      <c r="M7" s="38"/>
      <c r="N7" s="1171" t="s">
        <v>431</v>
      </c>
      <c r="O7" s="1172"/>
      <c r="P7" s="1160"/>
      <c r="Q7" s="73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</row>
    <row r="8" spans="2:127" ht="35.25" customHeight="1" hidden="1" thickBot="1">
      <c r="B8" s="62"/>
      <c r="C8" s="62"/>
      <c r="D8" s="1185" t="s">
        <v>84</v>
      </c>
      <c r="E8" s="1185"/>
      <c r="F8" s="1185"/>
      <c r="G8" s="742"/>
      <c r="H8" s="1186"/>
      <c r="I8" s="1186"/>
      <c r="J8" s="1186"/>
      <c r="K8" s="69"/>
      <c r="L8" s="68"/>
      <c r="M8" s="31"/>
      <c r="N8" s="1171" t="s">
        <v>432</v>
      </c>
      <c r="O8" s="1172"/>
      <c r="P8" s="1160"/>
      <c r="Q8" s="73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</row>
    <row r="9" spans="2:127" ht="17.25" customHeight="1" hidden="1" thickBot="1">
      <c r="B9" s="62"/>
      <c r="C9" s="62"/>
      <c r="D9" s="1187"/>
      <c r="E9" s="1187"/>
      <c r="F9" s="1187"/>
      <c r="G9" s="729"/>
      <c r="H9" s="1186"/>
      <c r="I9" s="1186"/>
      <c r="J9" s="1186"/>
      <c r="K9" s="70"/>
      <c r="L9" s="68"/>
      <c r="M9" s="31"/>
      <c r="N9" s="1171" t="s">
        <v>433</v>
      </c>
      <c r="O9" s="1172"/>
      <c r="P9" s="1160"/>
      <c r="Q9" s="73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</row>
    <row r="10" spans="2:127" ht="37.5" customHeight="1" hidden="1" thickBot="1">
      <c r="B10" s="62"/>
      <c r="C10" s="6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171" t="s">
        <v>434</v>
      </c>
      <c r="O10" s="1172"/>
      <c r="P10" s="1160"/>
      <c r="Q10" s="730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</row>
    <row r="11" spans="2:127" ht="39" customHeight="1" hidden="1" thickBot="1">
      <c r="B11" s="62"/>
      <c r="C11" s="62"/>
      <c r="D11" s="1188" t="s">
        <v>85</v>
      </c>
      <c r="E11" s="1188"/>
      <c r="F11" s="1188"/>
      <c r="G11" s="732"/>
      <c r="H11" s="31"/>
      <c r="I11" s="38"/>
      <c r="J11" s="38"/>
      <c r="K11" s="38"/>
      <c r="L11" s="38"/>
      <c r="M11" s="38"/>
      <c r="N11" s="1171" t="s">
        <v>435</v>
      </c>
      <c r="O11" s="1172"/>
      <c r="P11" s="1160"/>
      <c r="Q11" s="730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</row>
    <row r="12" spans="2:127" ht="36" customHeight="1" hidden="1" thickBot="1">
      <c r="B12" s="62"/>
      <c r="C12" s="62"/>
      <c r="D12" s="1189" t="s">
        <v>86</v>
      </c>
      <c r="E12" s="1189"/>
      <c r="F12" s="1189"/>
      <c r="G12" s="733">
        <v>0</v>
      </c>
      <c r="H12" s="31"/>
      <c r="I12" s="38"/>
      <c r="J12" s="38"/>
      <c r="K12" s="38"/>
      <c r="L12" s="38"/>
      <c r="M12" s="38"/>
      <c r="N12" s="1171" t="s">
        <v>436</v>
      </c>
      <c r="O12" s="1172"/>
      <c r="P12" s="1160"/>
      <c r="Q12" s="730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</row>
    <row r="13" spans="2:127" ht="12.75" hidden="1">
      <c r="B13" s="62"/>
      <c r="C13" s="62"/>
      <c r="D13" s="1180" t="s">
        <v>87</v>
      </c>
      <c r="E13" s="1180"/>
      <c r="F13" s="1180"/>
      <c r="G13" s="734"/>
      <c r="H13" s="48"/>
      <c r="I13" s="71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</row>
    <row r="14" spans="2:127" ht="12.75" hidden="1">
      <c r="B14" s="62"/>
      <c r="C14" s="62"/>
      <c r="D14" s="1180" t="s">
        <v>88</v>
      </c>
      <c r="E14" s="1180"/>
      <c r="F14" s="1180"/>
      <c r="G14" s="733"/>
      <c r="H14" s="31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</row>
    <row r="15" spans="2:127" ht="12.75" hidden="1">
      <c r="B15" s="62"/>
      <c r="C15" s="62"/>
      <c r="D15" s="1180" t="s">
        <v>24</v>
      </c>
      <c r="E15" s="1180"/>
      <c r="F15" s="1180"/>
      <c r="G15" s="733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</row>
    <row r="16" spans="2:127" ht="28.5" customHeight="1" hidden="1">
      <c r="B16" s="62"/>
      <c r="C16" s="62"/>
      <c r="D16" s="1182" t="s">
        <v>26</v>
      </c>
      <c r="E16" s="1182"/>
      <c r="F16" s="1182"/>
      <c r="G16" s="735">
        <f>'2. oldal'!H23</f>
        <v>0</v>
      </c>
      <c r="H16" s="72">
        <f>G5-G11-G12-G14-G16</f>
        <v>0</v>
      </c>
      <c r="I16" s="73">
        <f>IF(H16=0,"","Általánostól eltérő adómegállapítás")</f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</row>
    <row r="17" spans="2:127" ht="26.25" customHeight="1" hidden="1">
      <c r="B17" s="62"/>
      <c r="C17" s="62"/>
      <c r="D17" s="1182" t="s">
        <v>27</v>
      </c>
      <c r="E17" s="1182"/>
      <c r="F17" s="1182"/>
      <c r="G17" s="736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</row>
    <row r="18" spans="2:127" ht="26.25" customHeight="1" hidden="1">
      <c r="B18" s="62"/>
      <c r="C18" s="62"/>
      <c r="D18" s="1182" t="s">
        <v>32</v>
      </c>
      <c r="E18" s="1182"/>
      <c r="F18" s="1182"/>
      <c r="G18" s="737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</row>
    <row r="19" spans="2:127" ht="26.25" customHeight="1" hidden="1">
      <c r="B19" s="62"/>
      <c r="C19" s="62"/>
      <c r="D19" s="1182" t="s">
        <v>33</v>
      </c>
      <c r="E19" s="1182"/>
      <c r="F19" s="1182"/>
      <c r="G19" s="737"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</row>
    <row r="20" spans="2:127" ht="12.75" customHeight="1" hidden="1">
      <c r="B20" s="62"/>
      <c r="C20" s="62"/>
      <c r="D20" s="74"/>
      <c r="E20" s="75"/>
      <c r="F20" s="75"/>
      <c r="G20" s="7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</row>
    <row r="21" spans="2:127" ht="27" customHeight="1" hidden="1" thickBot="1">
      <c r="B21" s="71"/>
      <c r="C21" s="62"/>
      <c r="D21" s="1181" t="s">
        <v>34</v>
      </c>
      <c r="E21" s="1181"/>
      <c r="F21" s="1181"/>
      <c r="G21" s="738">
        <f>G16-G17-G18+G19</f>
        <v>0</v>
      </c>
      <c r="H21" s="710"/>
      <c r="I21" s="709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</row>
    <row r="22" spans="1:127" s="557" customFormat="1" ht="13.5" hidden="1" thickBot="1">
      <c r="A22" s="557">
        <v>1</v>
      </c>
      <c r="B22" s="558" t="s">
        <v>99</v>
      </c>
      <c r="C22" s="559"/>
      <c r="D22" s="560"/>
      <c r="E22" s="560"/>
      <c r="F22" s="561">
        <f>IF(alapadatok!$B26=0,"",1)</f>
        <v>1</v>
      </c>
      <c r="G22" s="561">
        <f>IF(alapadatok!$B27=0,"",1)</f>
      </c>
      <c r="H22" s="561">
        <f>IF(alapadatok!$B28=0,"",1)</f>
      </c>
      <c r="I22" s="561">
        <f>IF(alapadatok!$B29=0,"",1)</f>
      </c>
      <c r="J22" s="561">
        <f>IF(alapadatok!$B30=0,"",1)</f>
      </c>
      <c r="K22" s="561">
        <f>IF(alapadatok!$B31=0,"",1)</f>
      </c>
      <c r="L22" s="561">
        <f>IF(alapadatok!$B32=0,"",1)</f>
      </c>
      <c r="M22" s="561">
        <f>IF(alapadatok!$B33=0,"",1)</f>
      </c>
      <c r="N22" s="561">
        <f>IF(alapadatok!$B34=0,"",1)</f>
      </c>
      <c r="O22" s="561">
        <f>IF(alapadatok!$B35=0,"",1)</f>
      </c>
      <c r="P22" s="561">
        <f>IF(alapadatok!$B36=0,"",1)</f>
      </c>
      <c r="Q22" s="561">
        <f>IF(alapadatok!$B37=0,"",1)</f>
      </c>
      <c r="R22" s="561">
        <f>IF(alapadatok!$B38=0,"",1)</f>
      </c>
      <c r="S22" s="561">
        <f>IF(alapadatok!$B39=0,"",1)</f>
      </c>
      <c r="T22" s="561">
        <f>IF(alapadatok!$B40=0,"",1)</f>
      </c>
      <c r="U22" s="561">
        <f>IF(alapadatok!$B41=0,"",1)</f>
      </c>
      <c r="V22" s="561">
        <f>IF(alapadatok!$B42=0,"",1)</f>
      </c>
      <c r="W22" s="561">
        <f>IF(alapadatok!$B43=0,"",1)</f>
      </c>
      <c r="X22" s="561">
        <f>IF(alapadatok!$B44=0,"",1)</f>
      </c>
      <c r="Y22" s="561">
        <f>IF(alapadatok!$B45=0,"",1)</f>
      </c>
      <c r="Z22" s="561">
        <f>IF(alapadatok!$B46=0,"",1)</f>
      </c>
      <c r="AA22" s="561">
        <f>IF(alapadatok!$B47=0,"",1)</f>
      </c>
      <c r="AB22" s="561">
        <f>IF(alapadatok!$B48=0,"",1)</f>
      </c>
      <c r="AC22" s="561">
        <f>IF(alapadatok!$B49=0,"",1)</f>
      </c>
      <c r="AD22" s="561">
        <f>IF(alapadatok!$B50=0,"",1)</f>
      </c>
      <c r="AE22" s="561">
        <f>IF(alapadatok!$B51=0,"",1)</f>
      </c>
      <c r="AF22" s="561">
        <f>IF(alapadatok!$B52=0,"",1)</f>
      </c>
      <c r="AG22" s="561">
        <f>IF(alapadatok!$B53=0,"",1)</f>
      </c>
      <c r="AH22" s="561">
        <f>IF(alapadatok!$B54=0,"",1)</f>
      </c>
      <c r="AI22" s="561">
        <f>IF(alapadatok!$B55=0,"",1)</f>
      </c>
      <c r="AJ22" s="561">
        <f>IF(alapadatok!$B56=0,"",1)</f>
      </c>
      <c r="AK22" s="561">
        <f>IF(alapadatok!$B57=0,"",1)</f>
      </c>
      <c r="AL22" s="561">
        <f>IF(alapadatok!$B58=0,"",1)</f>
      </c>
      <c r="AM22" s="561">
        <f>IF(alapadatok!$B59=0,"",1)</f>
      </c>
      <c r="AN22" s="561">
        <f>IF(alapadatok!$B60=0,"",1)</f>
      </c>
      <c r="AO22" s="561">
        <f>IF(alapadatok!$B61=0,"",1)</f>
      </c>
      <c r="AP22" s="561">
        <f>IF(alapadatok!$B62=0,"",1)</f>
      </c>
      <c r="AQ22" s="561">
        <f>IF(alapadatok!$B63=0,"",1)</f>
      </c>
      <c r="AR22" s="561">
        <f>IF(alapadatok!$B64=0,"",1)</f>
      </c>
      <c r="AS22" s="561">
        <f>IF(alapadatok!$B65=0,"",1)</f>
      </c>
      <c r="AT22" s="561">
        <f>IF(alapadatok!$B66=0,"",1)</f>
      </c>
      <c r="AU22" s="561">
        <f>IF(alapadatok!$B67=0,"",1)</f>
      </c>
      <c r="AV22" s="561">
        <f>IF(alapadatok!$B68=0,"",1)</f>
      </c>
      <c r="AW22" s="561">
        <f>IF(alapadatok!$B69=0,"",1)</f>
      </c>
      <c r="AX22" s="561">
        <f>IF(alapadatok!$B70=0,"",1)</f>
      </c>
      <c r="AY22" s="561">
        <f>IF(alapadatok!$B71=0,"",1)</f>
      </c>
      <c r="AZ22" s="561">
        <f>IF(alapadatok!$B72=0,"",1)</f>
      </c>
      <c r="BA22" s="561">
        <f>IF(alapadatok!$B73=0,"",1)</f>
      </c>
      <c r="BB22" s="561">
        <f>IF(alapadatok!$B74=0,"",1)</f>
      </c>
      <c r="BC22" s="561">
        <f>IF(alapadatok!$B75=0,"",1)</f>
      </c>
      <c r="BD22" s="561">
        <f>IF(alapadatok!$B76=0,"",1)</f>
      </c>
      <c r="BE22" s="561">
        <f>IF(alapadatok!$B77=0,"",1)</f>
      </c>
      <c r="BF22" s="561">
        <f>IF(alapadatok!$B78=0,"",1)</f>
      </c>
      <c r="BG22" s="561">
        <f>IF(alapadatok!$B79=0,"",1)</f>
      </c>
      <c r="BH22" s="561">
        <f>IF(alapadatok!$B80=0,"",1)</f>
      </c>
      <c r="BI22" s="561">
        <f>IF(alapadatok!$B81=0,"",1)</f>
      </c>
      <c r="BJ22" s="561">
        <f>IF(alapadatok!$B82=0,"",1)</f>
      </c>
      <c r="BK22" s="561">
        <f>IF(alapadatok!$B83=0,"",1)</f>
      </c>
      <c r="BL22" s="561">
        <f>IF(alapadatok!$B84=0,"",1)</f>
      </c>
      <c r="BM22" s="561">
        <f>IF(alapadatok!$B85=0,"",1)</f>
      </c>
      <c r="BN22" s="561">
        <f>IF(alapadatok!$B86=0,"",1)</f>
      </c>
      <c r="BO22" s="561">
        <f>IF(alapadatok!$B87=0,"",1)</f>
      </c>
      <c r="BP22" s="561">
        <f>IF(alapadatok!$B88=0,"",1)</f>
      </c>
      <c r="BQ22" s="561">
        <f>IF(alapadatok!$B89=0,"",1)</f>
      </c>
      <c r="BR22" s="561">
        <f>IF(alapadatok!$B90=0,"",1)</f>
      </c>
      <c r="BS22" s="561">
        <f>IF(alapadatok!$B91=0,"",1)</f>
      </c>
      <c r="BT22" s="561">
        <f>IF(alapadatok!$B92=0,"",1)</f>
      </c>
      <c r="BU22" s="561">
        <f>IF(alapadatok!$B93=0,"",1)</f>
      </c>
      <c r="BV22" s="561">
        <f>IF(alapadatok!$B94=0,"",1)</f>
      </c>
      <c r="BW22" s="561">
        <f>IF(alapadatok!$B95=0,"",1)</f>
      </c>
      <c r="BX22" s="561">
        <f>IF(alapadatok!$B96=0,"",1)</f>
      </c>
      <c r="BY22" s="561">
        <f>IF(alapadatok!$B97=0,"",1)</f>
      </c>
      <c r="BZ22" s="561">
        <f>IF(alapadatok!$B97=0,"",1)</f>
      </c>
      <c r="CA22" s="561">
        <f>IF(alapadatok!$B99=0,"",1)</f>
      </c>
      <c r="CB22" s="561">
        <f>IF(alapadatok!$B100=0,"",1)</f>
      </c>
      <c r="CC22" s="561">
        <f>IF(alapadatok!$B101=0,"",1)</f>
      </c>
      <c r="CD22" s="561">
        <f>IF(alapadatok!$B102=0,"",1)</f>
      </c>
      <c r="CE22" s="561">
        <f>IF(alapadatok!$B103=0,"",1)</f>
      </c>
      <c r="CF22" s="561">
        <f>IF(alapadatok!$B104=0,"",1)</f>
      </c>
      <c r="CG22" s="561">
        <f>IF(alapadatok!$B105=0,"",1)</f>
      </c>
      <c r="CH22" s="561">
        <f>IF(alapadatok!$B106=0,"",1)</f>
      </c>
      <c r="CI22" s="561">
        <f>IF(alapadatok!$B107=0,"",1)</f>
      </c>
      <c r="CJ22" s="561">
        <f>IF(alapadatok!$B108=0,"",1)</f>
      </c>
      <c r="CK22" s="561">
        <f>IF(alapadatok!$B109=0,"",1)</f>
      </c>
      <c r="CL22" s="561">
        <f>IF(alapadatok!$B110=0,"",1)</f>
      </c>
      <c r="CM22" s="561">
        <f>IF(alapadatok!$B111=0,"",1)</f>
      </c>
      <c r="CN22" s="561">
        <f>IF(alapadatok!$B112=0,"",1)</f>
      </c>
      <c r="CO22" s="561">
        <f>IF(alapadatok!$B113=0,"",1)</f>
      </c>
      <c r="CP22" s="561">
        <f>IF(alapadatok!$B114=0,"",1)</f>
      </c>
      <c r="CQ22" s="561">
        <f>IF(alapadatok!$B115=0,"",1)</f>
      </c>
      <c r="CR22" s="561">
        <f>IF(alapadatok!$B116=0,"",1)</f>
      </c>
      <c r="CS22" s="561">
        <f>IF(alapadatok!$B117=0,"",1)</f>
      </c>
      <c r="CT22" s="561">
        <f>IF(alapadatok!$B118=0,"",1)</f>
      </c>
      <c r="CU22" s="561">
        <f>IF(alapadatok!$B119=0,"",1)</f>
      </c>
      <c r="CV22" s="561">
        <f>IF(alapadatok!$B120=0,"",1)</f>
      </c>
      <c r="CW22" s="561">
        <f>IF(alapadatok!$B121=0,"",1)</f>
      </c>
      <c r="CX22" s="561">
        <f>IF(alapadatok!$B122=0,"",1)</f>
      </c>
      <c r="CY22" s="561">
        <f>IF(alapadatok!$B123=0,"",1)</f>
      </c>
      <c r="CZ22" s="561">
        <f>IF(alapadatok!$B124=0,"",1)</f>
      </c>
      <c r="DA22" s="561">
        <f>IF(alapadatok!$B125=0,"",1)</f>
      </c>
      <c r="DB22" s="561">
        <f>IF(alapadatok!$B126=0,"",1)</f>
      </c>
      <c r="DC22" s="561">
        <f>IF(alapadatok!$B127=0,"",1)</f>
      </c>
      <c r="DD22" s="561">
        <f>IF(alapadatok!$B128=0,"",1)</f>
      </c>
      <c r="DE22" s="561">
        <f>IF(alapadatok!$B129=0,"",1)</f>
      </c>
      <c r="DF22" s="561">
        <f>IF(alapadatok!$B130=0,"",1)</f>
      </c>
      <c r="DG22" s="561">
        <f>IF(alapadatok!$B131=0,"",1)</f>
      </c>
      <c r="DH22" s="561">
        <f>IF(alapadatok!$B132=0,"",1)</f>
      </c>
      <c r="DI22" s="561">
        <f>IF(alapadatok!$B133=0,"",1)</f>
      </c>
      <c r="DJ22" s="561">
        <f>IF(alapadatok!$B134=0,"",1)</f>
      </c>
      <c r="DK22" s="561">
        <f>IF(alapadatok!$B135=0,"",1)</f>
      </c>
      <c r="DL22" s="561">
        <f>IF(alapadatok!$B136=0,"",1)</f>
      </c>
      <c r="DM22" s="561">
        <f>IF(alapadatok!$B137=0,"",1)</f>
      </c>
      <c r="DN22" s="561">
        <f>IF(alapadatok!$B138=0,"",1)</f>
      </c>
      <c r="DO22" s="561">
        <f>IF(alapadatok!$B139=0,"",1)</f>
      </c>
      <c r="DP22" s="561">
        <f>IF(alapadatok!$B140=0,"",1)</f>
      </c>
      <c r="DQ22" s="561">
        <f>IF(alapadatok!$B141=0,"",1)</f>
      </c>
      <c r="DR22" s="561">
        <f>IF(alapadatok!$B142=0,"",1)</f>
      </c>
      <c r="DS22" s="561">
        <f>IF(alapadatok!$B143=0,"",1)</f>
      </c>
      <c r="DT22" s="561">
        <f>IF(alapadatok!$B144=0,"",1)</f>
      </c>
      <c r="DU22" s="561">
        <f>IF(alapadatok!$B145=0,"",1)</f>
      </c>
      <c r="DV22" s="561">
        <f>IF(alapadatok!$B146=0,"",1)</f>
      </c>
      <c r="DW22" s="562"/>
    </row>
    <row r="23" spans="1:127" s="77" customFormat="1" ht="19.5" customHeight="1" hidden="1" thickBot="1">
      <c r="A23" s="77">
        <v>2</v>
      </c>
      <c r="B23" s="78" t="str">
        <f aca="true" t="shared" si="0" ref="B23:B31">HLOOKUP(1,$F$22:$DV$194,A23)</f>
        <v>Szabadszállás</v>
      </c>
      <c r="C23" s="79"/>
      <c r="D23" s="80" t="s">
        <v>100</v>
      </c>
      <c r="E23" s="81"/>
      <c r="F23" s="82" t="str">
        <f aca="true" t="shared" si="1" ref="F23:DV23">F29</f>
        <v>Szabadszállás</v>
      </c>
      <c r="G23" s="82" t="str">
        <f t="shared" si="1"/>
        <v>göd</v>
      </c>
      <c r="H23" s="82">
        <f t="shared" si="1"/>
        <v>0</v>
      </c>
      <c r="I23" s="82">
        <f t="shared" si="1"/>
        <v>0</v>
      </c>
      <c r="J23" s="82">
        <f t="shared" si="1"/>
        <v>0</v>
      </c>
      <c r="K23" s="82">
        <f t="shared" si="1"/>
        <v>0</v>
      </c>
      <c r="L23" s="82">
        <f t="shared" si="1"/>
        <v>0</v>
      </c>
      <c r="M23" s="82">
        <f t="shared" si="1"/>
        <v>0</v>
      </c>
      <c r="N23" s="82">
        <f t="shared" si="1"/>
        <v>0</v>
      </c>
      <c r="O23" s="82">
        <f t="shared" si="1"/>
        <v>0</v>
      </c>
      <c r="P23" s="82">
        <f t="shared" si="1"/>
        <v>0</v>
      </c>
      <c r="Q23" s="82">
        <f t="shared" si="1"/>
        <v>0</v>
      </c>
      <c r="R23" s="82">
        <f t="shared" si="1"/>
        <v>0</v>
      </c>
      <c r="S23" s="82">
        <f t="shared" si="1"/>
        <v>0</v>
      </c>
      <c r="T23" s="82">
        <f t="shared" si="1"/>
        <v>0</v>
      </c>
      <c r="U23" s="82">
        <f t="shared" si="1"/>
        <v>0</v>
      </c>
      <c r="V23" s="82">
        <f t="shared" si="1"/>
        <v>0</v>
      </c>
      <c r="W23" s="82">
        <f t="shared" si="1"/>
        <v>0</v>
      </c>
      <c r="X23" s="82">
        <f t="shared" si="1"/>
        <v>0</v>
      </c>
      <c r="Y23" s="82">
        <f t="shared" si="1"/>
        <v>0</v>
      </c>
      <c r="Z23" s="82">
        <f t="shared" si="1"/>
        <v>0</v>
      </c>
      <c r="AA23" s="82">
        <f t="shared" si="1"/>
        <v>0</v>
      </c>
      <c r="AB23" s="82">
        <f t="shared" si="1"/>
        <v>0</v>
      </c>
      <c r="AC23" s="82">
        <f t="shared" si="1"/>
        <v>0</v>
      </c>
      <c r="AD23" s="82">
        <f t="shared" si="1"/>
        <v>0</v>
      </c>
      <c r="AE23" s="82">
        <f t="shared" si="1"/>
        <v>0</v>
      </c>
      <c r="AF23" s="82">
        <f t="shared" si="1"/>
        <v>0</v>
      </c>
      <c r="AG23" s="82">
        <f t="shared" si="1"/>
        <v>0</v>
      </c>
      <c r="AH23" s="82">
        <f t="shared" si="1"/>
        <v>0</v>
      </c>
      <c r="AI23" s="82">
        <f t="shared" si="1"/>
        <v>0</v>
      </c>
      <c r="AJ23" s="82">
        <f t="shared" si="1"/>
        <v>0</v>
      </c>
      <c r="AK23" s="82">
        <f t="shared" si="1"/>
        <v>0</v>
      </c>
      <c r="AL23" s="82">
        <f t="shared" si="1"/>
        <v>0</v>
      </c>
      <c r="AM23" s="82">
        <f t="shared" si="1"/>
        <v>0</v>
      </c>
      <c r="AN23" s="82">
        <f t="shared" si="1"/>
        <v>0</v>
      </c>
      <c r="AO23" s="82">
        <f t="shared" si="1"/>
        <v>0</v>
      </c>
      <c r="AP23" s="82">
        <f t="shared" si="1"/>
        <v>0</v>
      </c>
      <c r="AQ23" s="82">
        <f t="shared" si="1"/>
        <v>0</v>
      </c>
      <c r="AR23" s="82">
        <f t="shared" si="1"/>
        <v>0</v>
      </c>
      <c r="AS23" s="82">
        <f t="shared" si="1"/>
        <v>0</v>
      </c>
      <c r="AT23" s="82" t="str">
        <f t="shared" si="1"/>
        <v>40</v>
      </c>
      <c r="AU23" s="82">
        <f t="shared" si="1"/>
        <v>0</v>
      </c>
      <c r="AV23" s="82">
        <f t="shared" si="1"/>
        <v>0</v>
      </c>
      <c r="AW23" s="82">
        <f t="shared" si="1"/>
        <v>0</v>
      </c>
      <c r="AX23" s="82">
        <f t="shared" si="1"/>
        <v>0</v>
      </c>
      <c r="AY23" s="82">
        <f t="shared" si="1"/>
        <v>0</v>
      </c>
      <c r="AZ23" s="82">
        <f t="shared" si="1"/>
        <v>0</v>
      </c>
      <c r="BA23" s="82">
        <f t="shared" si="1"/>
        <v>0</v>
      </c>
      <c r="BB23" s="82">
        <f t="shared" si="1"/>
        <v>0</v>
      </c>
      <c r="BC23" s="82">
        <f t="shared" si="1"/>
        <v>0</v>
      </c>
      <c r="BD23" s="82">
        <f t="shared" si="1"/>
        <v>0</v>
      </c>
      <c r="BE23" s="82">
        <f t="shared" si="1"/>
        <v>0</v>
      </c>
      <c r="BF23" s="82">
        <f t="shared" si="1"/>
        <v>0</v>
      </c>
      <c r="BG23" s="82">
        <f t="shared" si="1"/>
        <v>0</v>
      </c>
      <c r="BH23" s="82">
        <f t="shared" si="1"/>
        <v>0</v>
      </c>
      <c r="BI23" s="82">
        <f t="shared" si="1"/>
        <v>0</v>
      </c>
      <c r="BJ23" s="82">
        <f t="shared" si="1"/>
        <v>0</v>
      </c>
      <c r="BK23" s="82">
        <f t="shared" si="1"/>
        <v>0</v>
      </c>
      <c r="BL23" s="82">
        <f t="shared" si="1"/>
        <v>0</v>
      </c>
      <c r="BM23" s="82">
        <f t="shared" si="1"/>
        <v>0</v>
      </c>
      <c r="BN23" s="82">
        <f t="shared" si="1"/>
        <v>0</v>
      </c>
      <c r="BO23" s="82">
        <f t="shared" si="1"/>
        <v>0</v>
      </c>
      <c r="BP23" s="82">
        <f t="shared" si="1"/>
        <v>0</v>
      </c>
      <c r="BQ23" s="82">
        <f t="shared" si="1"/>
        <v>0</v>
      </c>
      <c r="BR23" s="82">
        <f t="shared" si="1"/>
        <v>0</v>
      </c>
      <c r="BS23" s="82">
        <f t="shared" si="1"/>
        <v>0</v>
      </c>
      <c r="BT23" s="82">
        <f t="shared" si="1"/>
        <v>0</v>
      </c>
      <c r="BU23" s="82">
        <f t="shared" si="1"/>
        <v>0</v>
      </c>
      <c r="BV23" s="82">
        <f t="shared" si="1"/>
        <v>0</v>
      </c>
      <c r="BW23" s="82">
        <f t="shared" si="1"/>
        <v>0</v>
      </c>
      <c r="BX23" s="82">
        <f t="shared" si="1"/>
        <v>0</v>
      </c>
      <c r="BY23" s="82">
        <f t="shared" si="1"/>
        <v>0</v>
      </c>
      <c r="BZ23" s="82">
        <f t="shared" si="1"/>
        <v>0</v>
      </c>
      <c r="CA23" s="82">
        <f t="shared" si="1"/>
        <v>0</v>
      </c>
      <c r="CB23" s="82">
        <f t="shared" si="1"/>
        <v>0</v>
      </c>
      <c r="CC23" s="82">
        <f t="shared" si="1"/>
        <v>0</v>
      </c>
      <c r="CD23" s="82">
        <f t="shared" si="1"/>
        <v>0</v>
      </c>
      <c r="CE23" s="82">
        <f t="shared" si="1"/>
        <v>0</v>
      </c>
      <c r="CF23" s="82">
        <f t="shared" si="1"/>
        <v>0</v>
      </c>
      <c r="CG23" s="82">
        <f t="shared" si="1"/>
        <v>0</v>
      </c>
      <c r="CH23" s="82">
        <f t="shared" si="1"/>
        <v>0</v>
      </c>
      <c r="CI23" s="82">
        <f t="shared" si="1"/>
        <v>0</v>
      </c>
      <c r="CJ23" s="82">
        <f t="shared" si="1"/>
        <v>0</v>
      </c>
      <c r="CK23" s="82">
        <f t="shared" si="1"/>
        <v>0</v>
      </c>
      <c r="CL23" s="82">
        <f t="shared" si="1"/>
        <v>0</v>
      </c>
      <c r="CM23" s="82">
        <f t="shared" si="1"/>
        <v>0</v>
      </c>
      <c r="CN23" s="82">
        <f t="shared" si="1"/>
        <v>0</v>
      </c>
      <c r="CO23" s="82">
        <f t="shared" si="1"/>
        <v>0</v>
      </c>
      <c r="CP23" s="82">
        <f t="shared" si="1"/>
        <v>0</v>
      </c>
      <c r="CQ23" s="82">
        <f t="shared" si="1"/>
        <v>0</v>
      </c>
      <c r="CR23" s="82">
        <f t="shared" si="1"/>
        <v>0</v>
      </c>
      <c r="CS23" s="82" t="str">
        <f t="shared" si="1"/>
        <v>91</v>
      </c>
      <c r="CT23" s="82" t="str">
        <f t="shared" si="1"/>
        <v>92</v>
      </c>
      <c r="CU23" s="82" t="str">
        <f t="shared" si="1"/>
        <v>93</v>
      </c>
      <c r="CV23" s="82" t="str">
        <f t="shared" si="1"/>
        <v>94</v>
      </c>
      <c r="CW23" s="82" t="str">
        <f t="shared" si="1"/>
        <v>95</v>
      </c>
      <c r="CX23" s="82" t="str">
        <f t="shared" si="1"/>
        <v>96</v>
      </c>
      <c r="CY23" s="82" t="str">
        <f t="shared" si="1"/>
        <v>97</v>
      </c>
      <c r="CZ23" s="82" t="str">
        <f t="shared" si="1"/>
        <v>98</v>
      </c>
      <c r="DA23" s="82" t="str">
        <f t="shared" si="1"/>
        <v>99</v>
      </c>
      <c r="DB23" s="82" t="str">
        <f t="shared" si="1"/>
        <v>100</v>
      </c>
      <c r="DC23" s="82" t="str">
        <f t="shared" si="1"/>
        <v>101</v>
      </c>
      <c r="DD23" s="82" t="str">
        <f t="shared" si="1"/>
        <v>102</v>
      </c>
      <c r="DE23" s="82" t="str">
        <f t="shared" si="1"/>
        <v>103</v>
      </c>
      <c r="DF23" s="82" t="str">
        <f t="shared" si="1"/>
        <v>104</v>
      </c>
      <c r="DG23" s="82" t="str">
        <f t="shared" si="1"/>
        <v>105</v>
      </c>
      <c r="DH23" s="82" t="str">
        <f t="shared" si="1"/>
        <v>106</v>
      </c>
      <c r="DI23" s="82" t="str">
        <f t="shared" si="1"/>
        <v>107</v>
      </c>
      <c r="DJ23" s="82" t="str">
        <f t="shared" si="1"/>
        <v>108</v>
      </c>
      <c r="DK23" s="82" t="str">
        <f t="shared" si="1"/>
        <v>109</v>
      </c>
      <c r="DL23" s="82" t="str">
        <f t="shared" si="1"/>
        <v>110</v>
      </c>
      <c r="DM23" s="82" t="str">
        <f t="shared" si="1"/>
        <v>111</v>
      </c>
      <c r="DN23" s="82" t="str">
        <f t="shared" si="1"/>
        <v>112</v>
      </c>
      <c r="DO23" s="82" t="str">
        <f t="shared" si="1"/>
        <v>113</v>
      </c>
      <c r="DP23" s="82" t="str">
        <f t="shared" si="1"/>
        <v>114</v>
      </c>
      <c r="DQ23" s="82" t="str">
        <f t="shared" si="1"/>
        <v>115</v>
      </c>
      <c r="DR23" s="82" t="str">
        <f t="shared" si="1"/>
        <v>116</v>
      </c>
      <c r="DS23" s="82" t="str">
        <f t="shared" si="1"/>
        <v>117</v>
      </c>
      <c r="DT23" s="82" t="str">
        <f t="shared" si="1"/>
        <v>118</v>
      </c>
      <c r="DU23" s="82" t="str">
        <f t="shared" si="1"/>
        <v>119</v>
      </c>
      <c r="DV23" s="82" t="str">
        <f t="shared" si="1"/>
        <v>120</v>
      </c>
      <c r="DW23" s="83" t="str">
        <f>DW29</f>
        <v>összesen:</v>
      </c>
    </row>
    <row r="24" spans="1:127" s="56" customFormat="1" ht="12.75" hidden="1">
      <c r="A24" s="56">
        <v>3</v>
      </c>
      <c r="B24" s="78">
        <f t="shared" si="0"/>
        <v>0</v>
      </c>
      <c r="C24" s="84"/>
      <c r="D24" s="85" t="s">
        <v>101</v>
      </c>
      <c r="E24" s="86"/>
      <c r="F24" s="87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9"/>
      <c r="DW24" s="90">
        <f>SUM(F24:DV24)</f>
        <v>0</v>
      </c>
    </row>
    <row r="25" spans="1:127" s="56" customFormat="1" ht="13.5" hidden="1" thickBot="1">
      <c r="A25" s="25">
        <v>4</v>
      </c>
      <c r="B25" s="78">
        <f t="shared" si="0"/>
        <v>0</v>
      </c>
      <c r="C25" s="84"/>
      <c r="D25" s="91" t="s">
        <v>102</v>
      </c>
      <c r="E25" s="92"/>
      <c r="F25" s="93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5"/>
      <c r="DW25" s="96">
        <f>SUM(F25:DV25)</f>
        <v>0</v>
      </c>
    </row>
    <row r="26" spans="1:127" s="34" customFormat="1" ht="12.75" hidden="1">
      <c r="A26" s="25">
        <v>5</v>
      </c>
      <c r="B26" s="78">
        <f t="shared" si="0"/>
        <v>0</v>
      </c>
      <c r="C26" s="62"/>
      <c r="D26" s="31"/>
      <c r="E26" s="31"/>
      <c r="F26" s="7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</row>
    <row r="27" spans="1:127" ht="12.75" hidden="1">
      <c r="A27" s="56">
        <v>6</v>
      </c>
      <c r="B27" s="78">
        <f t="shared" si="0"/>
        <v>0</v>
      </c>
      <c r="C27" s="62"/>
      <c r="D27" s="48"/>
      <c r="E27" s="31"/>
      <c r="F27" s="31"/>
      <c r="G27" s="3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</row>
    <row r="28" spans="1:127" ht="13.5" hidden="1" thickBot="1">
      <c r="A28" s="25">
        <v>7</v>
      </c>
      <c r="B28" s="78">
        <f t="shared" si="0"/>
        <v>0</v>
      </c>
      <c r="C28" s="6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</row>
    <row r="29" spans="1:127" s="77" customFormat="1" ht="19.5" customHeight="1" hidden="1" thickBot="1">
      <c r="A29" s="77">
        <v>8</v>
      </c>
      <c r="B29" s="78" t="str">
        <f t="shared" si="0"/>
        <v>Szabadszállás</v>
      </c>
      <c r="C29" s="79"/>
      <c r="D29" s="80" t="s">
        <v>100</v>
      </c>
      <c r="E29" s="81"/>
      <c r="F29" s="97" t="str">
        <f>alapadatok!F26</f>
        <v>Szabadszállás</v>
      </c>
      <c r="G29" s="97" t="str">
        <f>alapadatok!F27</f>
        <v>göd</v>
      </c>
      <c r="H29" s="97">
        <f>alapadatok!F28</f>
        <v>0</v>
      </c>
      <c r="I29" s="97">
        <f>alapadatok!F29</f>
        <v>0</v>
      </c>
      <c r="J29" s="97">
        <f>alapadatok!F30</f>
        <v>0</v>
      </c>
      <c r="K29" s="97">
        <f>alapadatok!F31</f>
        <v>0</v>
      </c>
      <c r="L29" s="97">
        <f>alapadatok!F32</f>
        <v>0</v>
      </c>
      <c r="M29" s="97">
        <f>alapadatok!F33</f>
        <v>0</v>
      </c>
      <c r="N29" s="97">
        <f>alapadatok!F34</f>
        <v>0</v>
      </c>
      <c r="O29" s="97">
        <f>alapadatok!F35</f>
        <v>0</v>
      </c>
      <c r="P29" s="97">
        <f>alapadatok!F36</f>
        <v>0</v>
      </c>
      <c r="Q29" s="97">
        <f>alapadatok!F37</f>
        <v>0</v>
      </c>
      <c r="R29" s="97">
        <f>alapadatok!F38</f>
        <v>0</v>
      </c>
      <c r="S29" s="97">
        <f>alapadatok!F39</f>
        <v>0</v>
      </c>
      <c r="T29" s="97">
        <f>alapadatok!F40</f>
        <v>0</v>
      </c>
      <c r="U29" s="97">
        <f>alapadatok!F41</f>
        <v>0</v>
      </c>
      <c r="V29" s="97">
        <f>alapadatok!F42</f>
        <v>0</v>
      </c>
      <c r="W29" s="97">
        <f>alapadatok!F43</f>
        <v>0</v>
      </c>
      <c r="X29" s="97">
        <f>alapadatok!F44</f>
        <v>0</v>
      </c>
      <c r="Y29" s="97">
        <f>alapadatok!F45</f>
        <v>0</v>
      </c>
      <c r="Z29" s="98">
        <f>alapadatok!F46</f>
        <v>0</v>
      </c>
      <c r="AA29" s="98">
        <f>alapadatok!F47</f>
        <v>0</v>
      </c>
      <c r="AB29" s="98">
        <f>alapadatok!F48</f>
        <v>0</v>
      </c>
      <c r="AC29" s="98">
        <f>alapadatok!F49</f>
        <v>0</v>
      </c>
      <c r="AD29" s="98">
        <f>alapadatok!F50</f>
        <v>0</v>
      </c>
      <c r="AE29" s="98">
        <f>alapadatok!F51</f>
        <v>0</v>
      </c>
      <c r="AF29" s="98">
        <f>alapadatok!F52</f>
        <v>0</v>
      </c>
      <c r="AG29" s="98">
        <f>alapadatok!F53</f>
        <v>0</v>
      </c>
      <c r="AH29" s="98">
        <f>alapadatok!F54</f>
        <v>0</v>
      </c>
      <c r="AI29" s="99">
        <f>alapadatok!F55</f>
        <v>0</v>
      </c>
      <c r="AJ29" s="99">
        <f>alapadatok!F56</f>
        <v>0</v>
      </c>
      <c r="AK29" s="99">
        <f>alapadatok!F57</f>
        <v>0</v>
      </c>
      <c r="AL29" s="99">
        <f>alapadatok!F58</f>
        <v>0</v>
      </c>
      <c r="AM29" s="99">
        <f>alapadatok!F59</f>
        <v>0</v>
      </c>
      <c r="AN29" s="99">
        <f>alapadatok!F60</f>
        <v>0</v>
      </c>
      <c r="AO29" s="99">
        <f>alapadatok!F61</f>
        <v>0</v>
      </c>
      <c r="AP29" s="99">
        <f>alapadatok!F62</f>
        <v>0</v>
      </c>
      <c r="AQ29" s="99">
        <f>alapadatok!F63</f>
        <v>0</v>
      </c>
      <c r="AR29" s="99">
        <f>alapadatok!F64</f>
        <v>0</v>
      </c>
      <c r="AS29" s="99">
        <f>alapadatok!F65</f>
        <v>0</v>
      </c>
      <c r="AT29" s="99" t="str">
        <f>alapadatok!F66</f>
        <v>40</v>
      </c>
      <c r="AU29" s="99">
        <f>alapadatok!F67</f>
        <v>0</v>
      </c>
      <c r="AV29" s="99">
        <f>alapadatok!F68</f>
        <v>0</v>
      </c>
      <c r="AW29" s="99">
        <f>alapadatok!F69</f>
        <v>0</v>
      </c>
      <c r="AX29" s="99">
        <f>alapadatok!F70</f>
        <v>0</v>
      </c>
      <c r="AY29" s="99">
        <f>alapadatok!F71</f>
        <v>0</v>
      </c>
      <c r="AZ29" s="99">
        <f>alapadatok!F72</f>
        <v>0</v>
      </c>
      <c r="BA29" s="99">
        <f>alapadatok!F73</f>
        <v>0</v>
      </c>
      <c r="BB29" s="99">
        <f>alapadatok!F74</f>
        <v>0</v>
      </c>
      <c r="BC29" s="99">
        <f>alapadatok!F75</f>
        <v>0</v>
      </c>
      <c r="BD29" s="99">
        <f>alapadatok!F76</f>
        <v>0</v>
      </c>
      <c r="BE29" s="99">
        <f>alapadatok!F77</f>
        <v>0</v>
      </c>
      <c r="BF29" s="99">
        <f>alapadatok!F78</f>
        <v>0</v>
      </c>
      <c r="BG29" s="99">
        <f>alapadatok!F79</f>
        <v>0</v>
      </c>
      <c r="BH29" s="99">
        <f>alapadatok!F80</f>
        <v>0</v>
      </c>
      <c r="BI29" s="99">
        <f>alapadatok!F81</f>
        <v>0</v>
      </c>
      <c r="BJ29" s="99">
        <f>alapadatok!F82</f>
        <v>0</v>
      </c>
      <c r="BK29" s="99">
        <f>alapadatok!F83</f>
        <v>0</v>
      </c>
      <c r="BL29" s="99">
        <f>alapadatok!F84</f>
        <v>0</v>
      </c>
      <c r="BM29" s="99">
        <f>alapadatok!F85</f>
        <v>0</v>
      </c>
      <c r="BN29" s="99">
        <f>alapadatok!F86</f>
        <v>0</v>
      </c>
      <c r="BO29" s="99">
        <f>alapadatok!F87</f>
        <v>0</v>
      </c>
      <c r="BP29" s="99">
        <f>alapadatok!F88</f>
        <v>0</v>
      </c>
      <c r="BQ29" s="99">
        <f>alapadatok!F89</f>
        <v>0</v>
      </c>
      <c r="BR29" s="99">
        <f>alapadatok!F90</f>
        <v>0</v>
      </c>
      <c r="BS29" s="99">
        <f>alapadatok!F91</f>
        <v>0</v>
      </c>
      <c r="BT29" s="99">
        <f>alapadatok!F92</f>
        <v>0</v>
      </c>
      <c r="BU29" s="99">
        <f>alapadatok!F93</f>
        <v>0</v>
      </c>
      <c r="BV29" s="99">
        <f>alapadatok!F94</f>
        <v>0</v>
      </c>
      <c r="BW29" s="99">
        <f>alapadatok!F95</f>
        <v>0</v>
      </c>
      <c r="BX29" s="99">
        <f>alapadatok!F96</f>
        <v>0</v>
      </c>
      <c r="BY29" s="99">
        <f>alapadatok!F97</f>
        <v>0</v>
      </c>
      <c r="BZ29" s="99">
        <f>alapadatok!F98</f>
        <v>0</v>
      </c>
      <c r="CA29" s="99">
        <f>alapadatok!F99</f>
        <v>0</v>
      </c>
      <c r="CB29" s="99">
        <f>alapadatok!F100</f>
        <v>0</v>
      </c>
      <c r="CC29" s="99">
        <f>alapadatok!F101</f>
        <v>0</v>
      </c>
      <c r="CD29" s="99">
        <f>alapadatok!F102</f>
        <v>0</v>
      </c>
      <c r="CE29" s="99">
        <f>alapadatok!F103</f>
        <v>0</v>
      </c>
      <c r="CF29" s="99">
        <f>alapadatok!F104</f>
        <v>0</v>
      </c>
      <c r="CG29" s="99">
        <f>alapadatok!F105</f>
        <v>0</v>
      </c>
      <c r="CH29" s="99">
        <f>alapadatok!F106</f>
        <v>0</v>
      </c>
      <c r="CI29" s="99">
        <f>alapadatok!F107</f>
        <v>0</v>
      </c>
      <c r="CJ29" s="99">
        <f>alapadatok!F108</f>
        <v>0</v>
      </c>
      <c r="CK29" s="99">
        <f>alapadatok!F109</f>
        <v>0</v>
      </c>
      <c r="CL29" s="99">
        <f>alapadatok!F110</f>
        <v>0</v>
      </c>
      <c r="CM29" s="99">
        <f>alapadatok!F111</f>
        <v>0</v>
      </c>
      <c r="CN29" s="99">
        <f>alapadatok!F112</f>
        <v>0</v>
      </c>
      <c r="CO29" s="99">
        <f>alapadatok!F113</f>
        <v>0</v>
      </c>
      <c r="CP29" s="99">
        <f>alapadatok!F114</f>
        <v>0</v>
      </c>
      <c r="CQ29" s="99">
        <f>alapadatok!F115</f>
        <v>0</v>
      </c>
      <c r="CR29" s="99">
        <f>alapadatok!F116</f>
        <v>0</v>
      </c>
      <c r="CS29" s="98" t="str">
        <f>alapadatok!F117</f>
        <v>91</v>
      </c>
      <c r="CT29" s="98" t="str">
        <f>alapadatok!F118</f>
        <v>92</v>
      </c>
      <c r="CU29" s="98" t="str">
        <f>alapadatok!F119</f>
        <v>93</v>
      </c>
      <c r="CV29" s="98" t="str">
        <f>alapadatok!F120</f>
        <v>94</v>
      </c>
      <c r="CW29" s="98" t="str">
        <f>alapadatok!F121</f>
        <v>95</v>
      </c>
      <c r="CX29" s="98" t="str">
        <f>alapadatok!F122</f>
        <v>96</v>
      </c>
      <c r="CY29" s="98" t="str">
        <f>alapadatok!F123</f>
        <v>97</v>
      </c>
      <c r="CZ29" s="98" t="str">
        <f>alapadatok!F124</f>
        <v>98</v>
      </c>
      <c r="DA29" s="98" t="str">
        <f>alapadatok!F125</f>
        <v>99</v>
      </c>
      <c r="DB29" s="98" t="str">
        <f>alapadatok!F126</f>
        <v>100</v>
      </c>
      <c r="DC29" s="98" t="str">
        <f>alapadatok!F127</f>
        <v>101</v>
      </c>
      <c r="DD29" s="98" t="str">
        <f>alapadatok!F128</f>
        <v>102</v>
      </c>
      <c r="DE29" s="98" t="str">
        <f>alapadatok!F129</f>
        <v>103</v>
      </c>
      <c r="DF29" s="98" t="str">
        <f>alapadatok!F130</f>
        <v>104</v>
      </c>
      <c r="DG29" s="98" t="str">
        <f>alapadatok!F131</f>
        <v>105</v>
      </c>
      <c r="DH29" s="98" t="str">
        <f>alapadatok!F132</f>
        <v>106</v>
      </c>
      <c r="DI29" s="98" t="str">
        <f>alapadatok!F133</f>
        <v>107</v>
      </c>
      <c r="DJ29" s="98" t="str">
        <f>alapadatok!F134</f>
        <v>108</v>
      </c>
      <c r="DK29" s="98" t="str">
        <f>alapadatok!F135</f>
        <v>109</v>
      </c>
      <c r="DL29" s="98" t="str">
        <f>alapadatok!F136</f>
        <v>110</v>
      </c>
      <c r="DM29" s="98" t="str">
        <f>alapadatok!F137</f>
        <v>111</v>
      </c>
      <c r="DN29" s="98" t="str">
        <f>alapadatok!F138</f>
        <v>112</v>
      </c>
      <c r="DO29" s="98" t="str">
        <f>alapadatok!F139</f>
        <v>113</v>
      </c>
      <c r="DP29" s="98" t="str">
        <f>alapadatok!F140</f>
        <v>114</v>
      </c>
      <c r="DQ29" s="98" t="str">
        <f>alapadatok!F141</f>
        <v>115</v>
      </c>
      <c r="DR29" s="98" t="str">
        <f>alapadatok!F142</f>
        <v>116</v>
      </c>
      <c r="DS29" s="98" t="str">
        <f>alapadatok!F143</f>
        <v>117</v>
      </c>
      <c r="DT29" s="98" t="str">
        <f>alapadatok!F144</f>
        <v>118</v>
      </c>
      <c r="DU29" s="98" t="str">
        <f>alapadatok!F145</f>
        <v>119</v>
      </c>
      <c r="DV29" s="98" t="str">
        <f>alapadatok!F146</f>
        <v>120</v>
      </c>
      <c r="DW29" s="100" t="s">
        <v>103</v>
      </c>
    </row>
    <row r="30" spans="1:134" ht="13.5" hidden="1" thickBot="1">
      <c r="A30" s="56">
        <v>9</v>
      </c>
      <c r="B30" s="78">
        <f t="shared" si="0"/>
        <v>0</v>
      </c>
      <c r="C30" s="62"/>
      <c r="D30" s="101"/>
      <c r="E30" s="34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102"/>
      <c r="DX30" s="103"/>
      <c r="DY30" s="103"/>
      <c r="DZ30" s="103"/>
      <c r="EA30" s="103"/>
      <c r="EB30" s="103"/>
      <c r="EC30" s="103"/>
      <c r="ED30" s="103"/>
    </row>
    <row r="31" spans="1:134" ht="21" customHeight="1" hidden="1" thickBot="1">
      <c r="A31" s="25">
        <v>10</v>
      </c>
      <c r="B31" s="78">
        <f t="shared" si="0"/>
        <v>0</v>
      </c>
      <c r="C31" s="62"/>
      <c r="D31" s="80" t="s">
        <v>104</v>
      </c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6"/>
      <c r="DX31" s="103"/>
      <c r="DY31" s="103"/>
      <c r="DZ31" s="103"/>
      <c r="EA31" s="103"/>
      <c r="EB31" s="103"/>
      <c r="EC31" s="103"/>
      <c r="ED31" s="103"/>
    </row>
    <row r="32" spans="1:127" s="56" customFormat="1" ht="12.75" hidden="1">
      <c r="A32" s="25"/>
      <c r="B32" s="78"/>
      <c r="C32" s="62"/>
      <c r="D32" s="107"/>
      <c r="E32" s="108"/>
      <c r="F32" s="715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10"/>
    </row>
    <row r="33" spans="2:127" s="56" customFormat="1" ht="12.75" hidden="1">
      <c r="B33" s="78"/>
      <c r="C33" s="62"/>
      <c r="D33" s="111"/>
      <c r="E33" s="11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0"/>
    </row>
    <row r="34" spans="1:127" s="56" customFormat="1" ht="12.75" hidden="1">
      <c r="A34" s="25"/>
      <c r="B34" s="78"/>
      <c r="C34" s="62"/>
      <c r="D34" s="111"/>
      <c r="E34" s="11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0"/>
    </row>
    <row r="35" spans="1:127" s="56" customFormat="1" ht="12.75" hidden="1">
      <c r="A35" s="25"/>
      <c r="B35" s="78"/>
      <c r="C35" s="62"/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0"/>
    </row>
    <row r="36" spans="2:127" s="56" customFormat="1" ht="12.75" hidden="1">
      <c r="B36" s="78"/>
      <c r="C36" s="62"/>
      <c r="D36" s="111"/>
      <c r="E36" s="11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0"/>
    </row>
    <row r="37" spans="1:127" s="56" customFormat="1" ht="12.75" hidden="1">
      <c r="A37" s="25"/>
      <c r="B37" s="78"/>
      <c r="C37" s="62"/>
      <c r="D37" s="111"/>
      <c r="E37" s="11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0"/>
    </row>
    <row r="38" spans="1:127" s="56" customFormat="1" ht="12.75" hidden="1">
      <c r="A38" s="25"/>
      <c r="B38" s="78"/>
      <c r="C38" s="62"/>
      <c r="D38" s="111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0"/>
    </row>
    <row r="39" spans="2:127" s="56" customFormat="1" ht="12.75" hidden="1">
      <c r="B39" s="78"/>
      <c r="C39" s="62"/>
      <c r="D39" s="111"/>
      <c r="E39" s="11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0"/>
    </row>
    <row r="40" spans="1:127" s="56" customFormat="1" ht="12.75" hidden="1">
      <c r="A40" s="25"/>
      <c r="B40" s="78"/>
      <c r="C40" s="62"/>
      <c r="D40" s="111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0"/>
    </row>
    <row r="41" spans="1:127" s="56" customFormat="1" ht="12.75" hidden="1">
      <c r="A41" s="25"/>
      <c r="B41" s="78"/>
      <c r="C41" s="62"/>
      <c r="D41" s="111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0"/>
    </row>
    <row r="42" spans="2:127" s="56" customFormat="1" ht="12.75" hidden="1">
      <c r="B42" s="78"/>
      <c r="C42" s="62"/>
      <c r="D42" s="111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0"/>
    </row>
    <row r="43" spans="1:127" s="56" customFormat="1" ht="12.75" hidden="1">
      <c r="A43" s="25"/>
      <c r="B43" s="78"/>
      <c r="C43" s="62"/>
      <c r="D43" s="11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0"/>
    </row>
    <row r="44" spans="1:127" s="56" customFormat="1" ht="12.75" hidden="1">
      <c r="A44" s="25"/>
      <c r="B44" s="78"/>
      <c r="C44" s="62"/>
      <c r="D44" s="111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0"/>
    </row>
    <row r="45" spans="2:127" s="56" customFormat="1" ht="12.75" hidden="1">
      <c r="B45" s="78"/>
      <c r="C45" s="62"/>
      <c r="D45" s="111"/>
      <c r="E45" s="112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0"/>
    </row>
    <row r="46" spans="1:127" s="56" customFormat="1" ht="12.75" hidden="1">
      <c r="A46" s="25"/>
      <c r="B46" s="78"/>
      <c r="C46" s="62"/>
      <c r="D46" s="111"/>
      <c r="E46" s="112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0"/>
    </row>
    <row r="47" spans="1:127" s="56" customFormat="1" ht="12.75" hidden="1">
      <c r="A47" s="25"/>
      <c r="B47" s="78"/>
      <c r="C47" s="62"/>
      <c r="D47" s="111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0"/>
    </row>
    <row r="48" spans="2:127" s="56" customFormat="1" ht="12.75" hidden="1">
      <c r="B48" s="78"/>
      <c r="C48" s="62"/>
      <c r="D48" s="111"/>
      <c r="E48" s="112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0"/>
    </row>
    <row r="49" spans="1:127" s="56" customFormat="1" ht="12.75" hidden="1">
      <c r="A49" s="25"/>
      <c r="B49" s="78"/>
      <c r="C49" s="62"/>
      <c r="D49" s="111"/>
      <c r="E49" s="112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0"/>
    </row>
    <row r="50" spans="1:127" s="56" customFormat="1" ht="12.75" hidden="1">
      <c r="A50" s="25"/>
      <c r="B50" s="78"/>
      <c r="C50" s="62"/>
      <c r="D50" s="111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0"/>
    </row>
    <row r="51" spans="2:127" s="56" customFormat="1" ht="12.75" hidden="1">
      <c r="B51" s="78"/>
      <c r="C51" s="62"/>
      <c r="D51" s="111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0"/>
    </row>
    <row r="52" spans="1:127" s="56" customFormat="1" ht="12.75" hidden="1">
      <c r="A52" s="25"/>
      <c r="B52" s="78"/>
      <c r="C52" s="62"/>
      <c r="D52" s="111"/>
      <c r="E52" s="112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0"/>
    </row>
    <row r="53" spans="1:127" s="56" customFormat="1" ht="12.75" hidden="1">
      <c r="A53" s="25"/>
      <c r="B53" s="78"/>
      <c r="C53" s="62"/>
      <c r="D53" s="111"/>
      <c r="E53" s="112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0"/>
    </row>
    <row r="54" spans="2:127" s="56" customFormat="1" ht="12.75" hidden="1">
      <c r="B54" s="78"/>
      <c r="C54" s="62"/>
      <c r="D54" s="111"/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0"/>
    </row>
    <row r="55" spans="1:127" s="56" customFormat="1" ht="12.75" hidden="1">
      <c r="A55" s="25"/>
      <c r="B55" s="78"/>
      <c r="C55" s="62"/>
      <c r="D55" s="111"/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0"/>
    </row>
    <row r="56" spans="1:127" s="56" customFormat="1" ht="13.5" hidden="1" thickBot="1">
      <c r="A56" s="25"/>
      <c r="B56" s="78"/>
      <c r="C56" s="62"/>
      <c r="D56" s="114"/>
      <c r="E56" s="1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0"/>
    </row>
    <row r="57" spans="2:127" s="77" customFormat="1" ht="19.5" customHeight="1" hidden="1">
      <c r="B57" s="78"/>
      <c r="C57" s="79"/>
      <c r="D57" s="117"/>
      <c r="E57" s="118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  <c r="V57" s="645"/>
      <c r="W57" s="645"/>
      <c r="X57" s="645"/>
      <c r="Y57" s="645"/>
      <c r="Z57" s="645"/>
      <c r="AA57" s="645"/>
      <c r="AB57" s="645"/>
      <c r="AC57" s="645"/>
      <c r="AD57" s="645"/>
      <c r="AE57" s="645"/>
      <c r="AF57" s="645"/>
      <c r="AG57" s="645"/>
      <c r="AH57" s="645"/>
      <c r="AI57" s="645"/>
      <c r="AJ57" s="645"/>
      <c r="AK57" s="645"/>
      <c r="AL57" s="645"/>
      <c r="AM57" s="645"/>
      <c r="AN57" s="645"/>
      <c r="AO57" s="645"/>
      <c r="AP57" s="645"/>
      <c r="AQ57" s="645"/>
      <c r="AR57" s="645"/>
      <c r="AS57" s="645"/>
      <c r="AT57" s="645"/>
      <c r="AU57" s="645"/>
      <c r="AV57" s="645"/>
      <c r="AW57" s="645"/>
      <c r="AX57" s="645"/>
      <c r="AY57" s="645"/>
      <c r="AZ57" s="645"/>
      <c r="BA57" s="645"/>
      <c r="BB57" s="645"/>
      <c r="BC57" s="645"/>
      <c r="BD57" s="645"/>
      <c r="BE57" s="645"/>
      <c r="BF57" s="645"/>
      <c r="BG57" s="645"/>
      <c r="BH57" s="645"/>
      <c r="BI57" s="645"/>
      <c r="BJ57" s="645"/>
      <c r="BK57" s="645"/>
      <c r="BL57" s="645"/>
      <c r="BM57" s="645"/>
      <c r="BN57" s="645"/>
      <c r="BO57" s="645"/>
      <c r="BP57" s="645"/>
      <c r="BQ57" s="645"/>
      <c r="BR57" s="645"/>
      <c r="BS57" s="645"/>
      <c r="BT57" s="645"/>
      <c r="BU57" s="645"/>
      <c r="BV57" s="645"/>
      <c r="BW57" s="645"/>
      <c r="BX57" s="645"/>
      <c r="BY57" s="645"/>
      <c r="BZ57" s="645"/>
      <c r="CA57" s="645"/>
      <c r="CB57" s="645"/>
      <c r="CC57" s="645"/>
      <c r="CD57" s="645"/>
      <c r="CE57" s="645"/>
      <c r="CF57" s="645"/>
      <c r="CG57" s="645"/>
      <c r="CH57" s="645"/>
      <c r="CI57" s="645"/>
      <c r="CJ57" s="645"/>
      <c r="CK57" s="645"/>
      <c r="CL57" s="645"/>
      <c r="CM57" s="645"/>
      <c r="CN57" s="645"/>
      <c r="CO57" s="645"/>
      <c r="CP57" s="645"/>
      <c r="CQ57" s="645"/>
      <c r="CR57" s="645"/>
      <c r="CS57" s="645"/>
      <c r="CT57" s="645"/>
      <c r="CU57" s="645"/>
      <c r="CV57" s="645"/>
      <c r="CW57" s="645"/>
      <c r="CX57" s="645"/>
      <c r="CY57" s="645"/>
      <c r="CZ57" s="645"/>
      <c r="DA57" s="645"/>
      <c r="DB57" s="645"/>
      <c r="DC57" s="645"/>
      <c r="DD57" s="645"/>
      <c r="DE57" s="645"/>
      <c r="DF57" s="645"/>
      <c r="DG57" s="645"/>
      <c r="DH57" s="645"/>
      <c r="DI57" s="645"/>
      <c r="DJ57" s="645"/>
      <c r="DK57" s="645"/>
      <c r="DL57" s="645"/>
      <c r="DM57" s="645"/>
      <c r="DN57" s="645"/>
      <c r="DO57" s="645"/>
      <c r="DP57" s="645"/>
      <c r="DQ57" s="645"/>
      <c r="DR57" s="645"/>
      <c r="DS57" s="645"/>
      <c r="DT57" s="645"/>
      <c r="DU57" s="645"/>
      <c r="DV57" s="645"/>
      <c r="DW57" s="645"/>
    </row>
    <row r="58" spans="2:127" s="640" customFormat="1" ht="19.5" customHeight="1" hidden="1" thickBot="1">
      <c r="B58" s="78"/>
      <c r="C58" s="641"/>
      <c r="D58" s="642"/>
      <c r="E58" s="643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  <c r="V58" s="645"/>
      <c r="W58" s="645"/>
      <c r="X58" s="645"/>
      <c r="Y58" s="645"/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645"/>
      <c r="AU58" s="645"/>
      <c r="AV58" s="645"/>
      <c r="AW58" s="645"/>
      <c r="AX58" s="645"/>
      <c r="AY58" s="645"/>
      <c r="AZ58" s="645"/>
      <c r="BA58" s="645"/>
      <c r="BB58" s="645"/>
      <c r="BC58" s="645"/>
      <c r="BD58" s="645"/>
      <c r="BE58" s="645"/>
      <c r="BF58" s="645"/>
      <c r="BG58" s="645"/>
      <c r="BH58" s="645"/>
      <c r="BI58" s="645"/>
      <c r="BJ58" s="645"/>
      <c r="BK58" s="645"/>
      <c r="BL58" s="645"/>
      <c r="BM58" s="645"/>
      <c r="BN58" s="645"/>
      <c r="BO58" s="645"/>
      <c r="BP58" s="645"/>
      <c r="BQ58" s="645"/>
      <c r="BR58" s="645"/>
      <c r="BS58" s="645"/>
      <c r="BT58" s="645"/>
      <c r="BU58" s="645"/>
      <c r="BV58" s="645"/>
      <c r="BW58" s="645"/>
      <c r="BX58" s="645"/>
      <c r="BY58" s="645"/>
      <c r="BZ58" s="645"/>
      <c r="CA58" s="645"/>
      <c r="CB58" s="645"/>
      <c r="CC58" s="645"/>
      <c r="CD58" s="645"/>
      <c r="CE58" s="645"/>
      <c r="CF58" s="645"/>
      <c r="CG58" s="645"/>
      <c r="CH58" s="645"/>
      <c r="CI58" s="645"/>
      <c r="CJ58" s="645"/>
      <c r="CK58" s="645"/>
      <c r="CL58" s="645"/>
      <c r="CM58" s="645"/>
      <c r="CN58" s="645"/>
      <c r="CO58" s="645"/>
      <c r="CP58" s="645"/>
      <c r="CQ58" s="645"/>
      <c r="CR58" s="645"/>
      <c r="CS58" s="645"/>
      <c r="CT58" s="645"/>
      <c r="CU58" s="645"/>
      <c r="CV58" s="645"/>
      <c r="CW58" s="645"/>
      <c r="CX58" s="645"/>
      <c r="CY58" s="645"/>
      <c r="CZ58" s="645"/>
      <c r="DA58" s="645"/>
      <c r="DB58" s="645"/>
      <c r="DC58" s="645"/>
      <c r="DD58" s="645"/>
      <c r="DE58" s="645"/>
      <c r="DF58" s="645"/>
      <c r="DG58" s="645"/>
      <c r="DH58" s="645"/>
      <c r="DI58" s="645"/>
      <c r="DJ58" s="645"/>
      <c r="DK58" s="645"/>
      <c r="DL58" s="645"/>
      <c r="DM58" s="645"/>
      <c r="DN58" s="645"/>
      <c r="DO58" s="645"/>
      <c r="DP58" s="645"/>
      <c r="DQ58" s="645"/>
      <c r="DR58" s="645"/>
      <c r="DS58" s="645"/>
      <c r="DT58" s="645"/>
      <c r="DU58" s="645"/>
      <c r="DV58" s="645"/>
      <c r="DW58" s="644"/>
    </row>
    <row r="59" spans="2:127" s="77" customFormat="1" ht="19.5" customHeight="1" hidden="1">
      <c r="B59" s="78"/>
      <c r="C59" s="79"/>
      <c r="D59" s="117"/>
      <c r="E59" s="123"/>
      <c r="F59" s="124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25"/>
    </row>
    <row r="60" spans="2:127" s="77" customFormat="1" ht="19.5" customHeight="1" hidden="1" thickBot="1">
      <c r="B60" s="78"/>
      <c r="C60" s="79"/>
      <c r="D60" s="126"/>
      <c r="E60" s="127"/>
      <c r="F60" s="128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30"/>
    </row>
    <row r="61" spans="1:127" s="56" customFormat="1" ht="12.75" hidden="1">
      <c r="A61" s="25"/>
      <c r="B61" s="78"/>
      <c r="C61" s="62"/>
      <c r="D61" s="131"/>
      <c r="E61" s="108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10"/>
    </row>
    <row r="62" spans="1:127" s="56" customFormat="1" ht="12.75" hidden="1">
      <c r="A62" s="25"/>
      <c r="B62" s="78"/>
      <c r="C62" s="62"/>
      <c r="D62" s="111"/>
      <c r="E62" s="112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0"/>
    </row>
    <row r="63" spans="2:127" s="56" customFormat="1" ht="12.75" hidden="1">
      <c r="B63" s="78"/>
      <c r="C63" s="62"/>
      <c r="D63" s="111"/>
      <c r="E63" s="112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0"/>
    </row>
    <row r="64" spans="1:127" s="56" customFormat="1" ht="12.75" hidden="1">
      <c r="A64" s="25"/>
      <c r="B64" s="78"/>
      <c r="C64" s="62"/>
      <c r="D64" s="111"/>
      <c r="E64" s="112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0"/>
    </row>
    <row r="65" spans="1:127" s="56" customFormat="1" ht="12.75" hidden="1">
      <c r="A65" s="25"/>
      <c r="B65" s="78"/>
      <c r="C65" s="62"/>
      <c r="D65" s="111"/>
      <c r="E65" s="112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0"/>
    </row>
    <row r="66" spans="2:127" s="56" customFormat="1" ht="12.75" hidden="1">
      <c r="B66" s="78"/>
      <c r="C66" s="62"/>
      <c r="D66" s="111"/>
      <c r="E66" s="112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0"/>
    </row>
    <row r="67" spans="1:127" s="56" customFormat="1" ht="12.75" hidden="1">
      <c r="A67" s="25"/>
      <c r="B67" s="78"/>
      <c r="C67" s="62"/>
      <c r="D67" s="111"/>
      <c r="E67" s="112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0"/>
    </row>
    <row r="68" spans="1:127" s="56" customFormat="1" ht="12.75" hidden="1">
      <c r="A68" s="25"/>
      <c r="B68" s="78"/>
      <c r="C68" s="62"/>
      <c r="D68" s="111"/>
      <c r="E68" s="112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0"/>
    </row>
    <row r="69" spans="2:127" s="56" customFormat="1" ht="12.75" hidden="1">
      <c r="B69" s="78"/>
      <c r="C69" s="62"/>
      <c r="D69" s="111"/>
      <c r="E69" s="112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0"/>
    </row>
    <row r="70" spans="1:127" s="56" customFormat="1" ht="12.75" hidden="1">
      <c r="A70" s="25"/>
      <c r="B70" s="78"/>
      <c r="C70" s="62"/>
      <c r="D70" s="111"/>
      <c r="E70" s="112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0"/>
    </row>
    <row r="71" spans="1:127" s="56" customFormat="1" ht="12.75" hidden="1">
      <c r="A71" s="25"/>
      <c r="B71" s="78"/>
      <c r="C71" s="62"/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0"/>
    </row>
    <row r="72" spans="2:127" s="56" customFormat="1" ht="39.75" customHeight="1" hidden="1" thickBot="1">
      <c r="B72" s="78"/>
      <c r="C72" s="84"/>
      <c r="D72" s="132"/>
      <c r="E72" s="133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0"/>
    </row>
    <row r="73" spans="1:127" s="77" customFormat="1" ht="19.5" customHeight="1" hidden="1">
      <c r="A73" s="25"/>
      <c r="B73" s="78"/>
      <c r="C73" s="79"/>
      <c r="D73" s="117"/>
      <c r="E73" s="118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  <c r="U73" s="645"/>
      <c r="V73" s="645"/>
      <c r="W73" s="645"/>
      <c r="X73" s="645"/>
      <c r="Y73" s="645"/>
      <c r="Z73" s="645"/>
      <c r="AA73" s="645"/>
      <c r="AB73" s="645"/>
      <c r="AC73" s="645"/>
      <c r="AD73" s="645"/>
      <c r="AE73" s="645"/>
      <c r="AF73" s="645"/>
      <c r="AG73" s="645"/>
      <c r="AH73" s="645"/>
      <c r="AI73" s="645"/>
      <c r="AJ73" s="645"/>
      <c r="AK73" s="645"/>
      <c r="AL73" s="645"/>
      <c r="AM73" s="645"/>
      <c r="AN73" s="645"/>
      <c r="AO73" s="645"/>
      <c r="AP73" s="645"/>
      <c r="AQ73" s="645"/>
      <c r="AR73" s="645"/>
      <c r="AS73" s="645"/>
      <c r="AT73" s="645"/>
      <c r="AU73" s="645"/>
      <c r="AV73" s="645"/>
      <c r="AW73" s="645"/>
      <c r="AX73" s="645"/>
      <c r="AY73" s="645"/>
      <c r="AZ73" s="645"/>
      <c r="BA73" s="645"/>
      <c r="BB73" s="645"/>
      <c r="BC73" s="645"/>
      <c r="BD73" s="645"/>
      <c r="BE73" s="645"/>
      <c r="BF73" s="645"/>
      <c r="BG73" s="645"/>
      <c r="BH73" s="645"/>
      <c r="BI73" s="645"/>
      <c r="BJ73" s="645"/>
      <c r="BK73" s="645"/>
      <c r="BL73" s="645"/>
      <c r="BM73" s="645"/>
      <c r="BN73" s="645"/>
      <c r="BO73" s="645"/>
      <c r="BP73" s="645"/>
      <c r="BQ73" s="645"/>
      <c r="BR73" s="645"/>
      <c r="BS73" s="645"/>
      <c r="BT73" s="645"/>
      <c r="BU73" s="645"/>
      <c r="BV73" s="645"/>
      <c r="BW73" s="645"/>
      <c r="BX73" s="645"/>
      <c r="BY73" s="645"/>
      <c r="BZ73" s="645"/>
      <c r="CA73" s="645"/>
      <c r="CB73" s="645"/>
      <c r="CC73" s="645"/>
      <c r="CD73" s="645"/>
      <c r="CE73" s="645"/>
      <c r="CF73" s="645"/>
      <c r="CG73" s="645"/>
      <c r="CH73" s="645"/>
      <c r="CI73" s="645"/>
      <c r="CJ73" s="645"/>
      <c r="CK73" s="645"/>
      <c r="CL73" s="645"/>
      <c r="CM73" s="645"/>
      <c r="CN73" s="645"/>
      <c r="CO73" s="645"/>
      <c r="CP73" s="645"/>
      <c r="CQ73" s="645"/>
      <c r="CR73" s="645"/>
      <c r="CS73" s="645"/>
      <c r="CT73" s="645"/>
      <c r="CU73" s="645"/>
      <c r="CV73" s="645"/>
      <c r="CW73" s="645"/>
      <c r="CX73" s="645"/>
      <c r="CY73" s="645"/>
      <c r="CZ73" s="645"/>
      <c r="DA73" s="645"/>
      <c r="DB73" s="645"/>
      <c r="DC73" s="645"/>
      <c r="DD73" s="645"/>
      <c r="DE73" s="645"/>
      <c r="DF73" s="645"/>
      <c r="DG73" s="645"/>
      <c r="DH73" s="645"/>
      <c r="DI73" s="645"/>
      <c r="DJ73" s="645"/>
      <c r="DK73" s="645"/>
      <c r="DL73" s="645"/>
      <c r="DM73" s="645"/>
      <c r="DN73" s="645"/>
      <c r="DO73" s="645"/>
      <c r="DP73" s="645"/>
      <c r="DQ73" s="645"/>
      <c r="DR73" s="645"/>
      <c r="DS73" s="645"/>
      <c r="DT73" s="645"/>
      <c r="DU73" s="645"/>
      <c r="DV73" s="645"/>
      <c r="DW73" s="645"/>
    </row>
    <row r="74" spans="1:127" s="77" customFormat="1" ht="19.5" customHeight="1" hidden="1" thickBot="1">
      <c r="A74" s="56"/>
      <c r="B74" s="78"/>
      <c r="C74" s="79"/>
      <c r="D74" s="121"/>
      <c r="E74" s="122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5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5"/>
      <c r="AJ74" s="645"/>
      <c r="AK74" s="645"/>
      <c r="AL74" s="645"/>
      <c r="AM74" s="645"/>
      <c r="AN74" s="645"/>
      <c r="AO74" s="645"/>
      <c r="AP74" s="645"/>
      <c r="AQ74" s="645"/>
      <c r="AR74" s="645"/>
      <c r="AS74" s="645"/>
      <c r="AT74" s="645"/>
      <c r="AU74" s="645"/>
      <c r="AV74" s="645"/>
      <c r="AW74" s="645"/>
      <c r="AX74" s="645"/>
      <c r="AY74" s="645"/>
      <c r="AZ74" s="645"/>
      <c r="BA74" s="645"/>
      <c r="BB74" s="645"/>
      <c r="BC74" s="645"/>
      <c r="BD74" s="645"/>
      <c r="BE74" s="645"/>
      <c r="BF74" s="645"/>
      <c r="BG74" s="645"/>
      <c r="BH74" s="645"/>
      <c r="BI74" s="645"/>
      <c r="BJ74" s="645"/>
      <c r="BK74" s="645"/>
      <c r="BL74" s="645"/>
      <c r="BM74" s="645"/>
      <c r="BN74" s="645"/>
      <c r="BO74" s="645"/>
      <c r="BP74" s="645"/>
      <c r="BQ74" s="645"/>
      <c r="BR74" s="645"/>
      <c r="BS74" s="645"/>
      <c r="BT74" s="645"/>
      <c r="BU74" s="645"/>
      <c r="BV74" s="645"/>
      <c r="BW74" s="645"/>
      <c r="BX74" s="645"/>
      <c r="BY74" s="645"/>
      <c r="BZ74" s="645"/>
      <c r="CA74" s="645"/>
      <c r="CB74" s="645"/>
      <c r="CC74" s="645"/>
      <c r="CD74" s="645"/>
      <c r="CE74" s="645"/>
      <c r="CF74" s="645"/>
      <c r="CG74" s="645"/>
      <c r="CH74" s="645"/>
      <c r="CI74" s="645"/>
      <c r="CJ74" s="645"/>
      <c r="CK74" s="645"/>
      <c r="CL74" s="645"/>
      <c r="CM74" s="645"/>
      <c r="CN74" s="645"/>
      <c r="CO74" s="645"/>
      <c r="CP74" s="645"/>
      <c r="CQ74" s="645"/>
      <c r="CR74" s="645"/>
      <c r="CS74" s="645"/>
      <c r="CT74" s="645"/>
      <c r="CU74" s="645"/>
      <c r="CV74" s="645"/>
      <c r="CW74" s="645"/>
      <c r="CX74" s="645"/>
      <c r="CY74" s="645"/>
      <c r="CZ74" s="645"/>
      <c r="DA74" s="645"/>
      <c r="DB74" s="645"/>
      <c r="DC74" s="645"/>
      <c r="DD74" s="645"/>
      <c r="DE74" s="645"/>
      <c r="DF74" s="645"/>
      <c r="DG74" s="645"/>
      <c r="DH74" s="645"/>
      <c r="DI74" s="645"/>
      <c r="DJ74" s="645"/>
      <c r="DK74" s="645"/>
      <c r="DL74" s="645"/>
      <c r="DM74" s="645"/>
      <c r="DN74" s="645"/>
      <c r="DO74" s="645"/>
      <c r="DP74" s="645"/>
      <c r="DQ74" s="645"/>
      <c r="DR74" s="645"/>
      <c r="DS74" s="645"/>
      <c r="DT74" s="645"/>
      <c r="DU74" s="645"/>
      <c r="DV74" s="645"/>
      <c r="DW74" s="134"/>
    </row>
    <row r="75" spans="1:127" s="77" customFormat="1" ht="19.5" customHeight="1" hidden="1">
      <c r="A75" s="25"/>
      <c r="B75" s="78"/>
      <c r="C75" s="79"/>
      <c r="D75" s="117"/>
      <c r="E75" s="123"/>
      <c r="F75" s="124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25"/>
    </row>
    <row r="76" spans="1:127" s="77" customFormat="1" ht="16.5" hidden="1" thickBot="1">
      <c r="A76" s="56"/>
      <c r="B76" s="78"/>
      <c r="C76" s="79"/>
      <c r="D76" s="135"/>
      <c r="E76" s="127"/>
      <c r="F76" s="12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30"/>
    </row>
    <row r="77" spans="2:127" ht="12.75" hidden="1">
      <c r="B77" s="78"/>
      <c r="C77" s="84"/>
      <c r="D77" s="136"/>
      <c r="E77" s="137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9"/>
    </row>
    <row r="78" spans="2:127" ht="13.5" hidden="1" thickBot="1">
      <c r="B78" s="78"/>
      <c r="C78" s="84"/>
      <c r="D78" s="136"/>
      <c r="E78" s="137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9"/>
    </row>
    <row r="79" spans="1:127" s="77" customFormat="1" ht="19.5" customHeight="1" hidden="1">
      <c r="A79" s="56"/>
      <c r="B79" s="78"/>
      <c r="C79" s="79"/>
      <c r="D79" s="117"/>
      <c r="E79" s="118"/>
      <c r="F79" s="645"/>
      <c r="G79" s="645"/>
      <c r="H79" s="645"/>
      <c r="I79" s="645"/>
      <c r="J79" s="645"/>
      <c r="K79" s="645"/>
      <c r="L79" s="645"/>
      <c r="M79" s="645"/>
      <c r="N79" s="645"/>
      <c r="O79" s="645"/>
      <c r="P79" s="645"/>
      <c r="Q79" s="645"/>
      <c r="R79" s="645"/>
      <c r="S79" s="645"/>
      <c r="T79" s="645"/>
      <c r="U79" s="645"/>
      <c r="V79" s="645"/>
      <c r="W79" s="645"/>
      <c r="X79" s="645"/>
      <c r="Y79" s="645"/>
      <c r="Z79" s="645"/>
      <c r="AA79" s="645"/>
      <c r="AB79" s="645"/>
      <c r="AC79" s="645"/>
      <c r="AD79" s="645"/>
      <c r="AE79" s="645"/>
      <c r="AF79" s="645"/>
      <c r="AG79" s="645"/>
      <c r="AH79" s="645"/>
      <c r="AI79" s="645"/>
      <c r="AJ79" s="645"/>
      <c r="AK79" s="645"/>
      <c r="AL79" s="645"/>
      <c r="AM79" s="645"/>
      <c r="AN79" s="645"/>
      <c r="AO79" s="645"/>
      <c r="AP79" s="645"/>
      <c r="AQ79" s="645"/>
      <c r="AR79" s="645"/>
      <c r="AS79" s="645"/>
      <c r="AT79" s="645"/>
      <c r="AU79" s="645"/>
      <c r="AV79" s="645"/>
      <c r="AW79" s="645"/>
      <c r="AX79" s="645"/>
      <c r="AY79" s="645"/>
      <c r="AZ79" s="645"/>
      <c r="BA79" s="645"/>
      <c r="BB79" s="645"/>
      <c r="BC79" s="645"/>
      <c r="BD79" s="645"/>
      <c r="BE79" s="645"/>
      <c r="BF79" s="645"/>
      <c r="BG79" s="645"/>
      <c r="BH79" s="645"/>
      <c r="BI79" s="645"/>
      <c r="BJ79" s="645"/>
      <c r="BK79" s="645"/>
      <c r="BL79" s="645"/>
      <c r="BM79" s="645"/>
      <c r="BN79" s="645"/>
      <c r="BO79" s="645"/>
      <c r="BP79" s="645"/>
      <c r="BQ79" s="645"/>
      <c r="BR79" s="645"/>
      <c r="BS79" s="645"/>
      <c r="BT79" s="645"/>
      <c r="BU79" s="645"/>
      <c r="BV79" s="645"/>
      <c r="BW79" s="645"/>
      <c r="BX79" s="645"/>
      <c r="BY79" s="645"/>
      <c r="BZ79" s="645"/>
      <c r="CA79" s="645"/>
      <c r="CB79" s="645"/>
      <c r="CC79" s="645"/>
      <c r="CD79" s="645"/>
      <c r="CE79" s="645"/>
      <c r="CF79" s="645"/>
      <c r="CG79" s="645"/>
      <c r="CH79" s="645"/>
      <c r="CI79" s="645"/>
      <c r="CJ79" s="645"/>
      <c r="CK79" s="645"/>
      <c r="CL79" s="645"/>
      <c r="CM79" s="645"/>
      <c r="CN79" s="645"/>
      <c r="CO79" s="645"/>
      <c r="CP79" s="645"/>
      <c r="CQ79" s="645"/>
      <c r="CR79" s="645"/>
      <c r="CS79" s="645"/>
      <c r="CT79" s="645"/>
      <c r="CU79" s="645"/>
      <c r="CV79" s="645"/>
      <c r="CW79" s="645"/>
      <c r="CX79" s="645"/>
      <c r="CY79" s="645"/>
      <c r="CZ79" s="645"/>
      <c r="DA79" s="645"/>
      <c r="DB79" s="645"/>
      <c r="DC79" s="645"/>
      <c r="DD79" s="645"/>
      <c r="DE79" s="645"/>
      <c r="DF79" s="645"/>
      <c r="DG79" s="645"/>
      <c r="DH79" s="645"/>
      <c r="DI79" s="645"/>
      <c r="DJ79" s="645"/>
      <c r="DK79" s="645"/>
      <c r="DL79" s="645"/>
      <c r="DM79" s="645"/>
      <c r="DN79" s="645"/>
      <c r="DO79" s="645"/>
      <c r="DP79" s="645"/>
      <c r="DQ79" s="645"/>
      <c r="DR79" s="645"/>
      <c r="DS79" s="645"/>
      <c r="DT79" s="645"/>
      <c r="DU79" s="645"/>
      <c r="DV79" s="645"/>
      <c r="DW79" s="645"/>
    </row>
    <row r="80" spans="1:127" s="77" customFormat="1" ht="19.5" customHeight="1" hidden="1" thickBot="1">
      <c r="A80" s="25"/>
      <c r="B80" s="78"/>
      <c r="C80" s="79"/>
      <c r="D80" s="126"/>
      <c r="E80" s="140"/>
      <c r="F80" s="645"/>
      <c r="G80" s="645"/>
      <c r="H80" s="645"/>
      <c r="I80" s="645"/>
      <c r="J80" s="645"/>
      <c r="K80" s="645"/>
      <c r="L80" s="645"/>
      <c r="M80" s="645"/>
      <c r="N80" s="645"/>
      <c r="O80" s="645"/>
      <c r="P80" s="645"/>
      <c r="Q80" s="645"/>
      <c r="R80" s="645"/>
      <c r="S80" s="645"/>
      <c r="T80" s="645"/>
      <c r="U80" s="645"/>
      <c r="V80" s="645"/>
      <c r="W80" s="645"/>
      <c r="X80" s="645"/>
      <c r="Y80" s="645"/>
      <c r="Z80" s="645"/>
      <c r="AA80" s="645"/>
      <c r="AB80" s="645"/>
      <c r="AC80" s="645"/>
      <c r="AD80" s="645"/>
      <c r="AE80" s="645"/>
      <c r="AF80" s="645"/>
      <c r="AG80" s="645"/>
      <c r="AH80" s="645"/>
      <c r="AI80" s="645"/>
      <c r="AJ80" s="645"/>
      <c r="AK80" s="645"/>
      <c r="AL80" s="645"/>
      <c r="AM80" s="645"/>
      <c r="AN80" s="645"/>
      <c r="AO80" s="645"/>
      <c r="AP80" s="645"/>
      <c r="AQ80" s="645"/>
      <c r="AR80" s="645"/>
      <c r="AS80" s="645"/>
      <c r="AT80" s="645"/>
      <c r="AU80" s="645"/>
      <c r="AV80" s="645"/>
      <c r="AW80" s="645"/>
      <c r="AX80" s="645"/>
      <c r="AY80" s="645"/>
      <c r="AZ80" s="645"/>
      <c r="BA80" s="645"/>
      <c r="BB80" s="645"/>
      <c r="BC80" s="645"/>
      <c r="BD80" s="645"/>
      <c r="BE80" s="645"/>
      <c r="BF80" s="645"/>
      <c r="BG80" s="645"/>
      <c r="BH80" s="645"/>
      <c r="BI80" s="645"/>
      <c r="BJ80" s="645"/>
      <c r="BK80" s="645"/>
      <c r="BL80" s="645"/>
      <c r="BM80" s="645"/>
      <c r="BN80" s="645"/>
      <c r="BO80" s="645"/>
      <c r="BP80" s="645"/>
      <c r="BQ80" s="645"/>
      <c r="BR80" s="645"/>
      <c r="BS80" s="645"/>
      <c r="BT80" s="645"/>
      <c r="BU80" s="645"/>
      <c r="BV80" s="645"/>
      <c r="BW80" s="645"/>
      <c r="BX80" s="645"/>
      <c r="BY80" s="645"/>
      <c r="BZ80" s="645"/>
      <c r="CA80" s="645"/>
      <c r="CB80" s="645"/>
      <c r="CC80" s="645"/>
      <c r="CD80" s="645"/>
      <c r="CE80" s="645"/>
      <c r="CF80" s="645"/>
      <c r="CG80" s="645"/>
      <c r="CH80" s="645"/>
      <c r="CI80" s="645"/>
      <c r="CJ80" s="645"/>
      <c r="CK80" s="645"/>
      <c r="CL80" s="645"/>
      <c r="CM80" s="645"/>
      <c r="CN80" s="645"/>
      <c r="CO80" s="645"/>
      <c r="CP80" s="645"/>
      <c r="CQ80" s="645"/>
      <c r="CR80" s="645"/>
      <c r="CS80" s="645"/>
      <c r="CT80" s="645"/>
      <c r="CU80" s="645"/>
      <c r="CV80" s="645"/>
      <c r="CW80" s="645"/>
      <c r="CX80" s="645"/>
      <c r="CY80" s="645"/>
      <c r="CZ80" s="645"/>
      <c r="DA80" s="645"/>
      <c r="DB80" s="645"/>
      <c r="DC80" s="645"/>
      <c r="DD80" s="645"/>
      <c r="DE80" s="645"/>
      <c r="DF80" s="645"/>
      <c r="DG80" s="645"/>
      <c r="DH80" s="645"/>
      <c r="DI80" s="645"/>
      <c r="DJ80" s="645"/>
      <c r="DK80" s="645"/>
      <c r="DL80" s="645"/>
      <c r="DM80" s="645"/>
      <c r="DN80" s="645"/>
      <c r="DO80" s="645"/>
      <c r="DP80" s="645"/>
      <c r="DQ80" s="645"/>
      <c r="DR80" s="645"/>
      <c r="DS80" s="645"/>
      <c r="DT80" s="645"/>
      <c r="DU80" s="645"/>
      <c r="DV80" s="645"/>
      <c r="DW80" s="645"/>
    </row>
    <row r="81" spans="1:127" s="77" customFormat="1" ht="19.5" customHeight="1" hidden="1" thickBot="1">
      <c r="A81" s="56"/>
      <c r="B81" s="78"/>
      <c r="C81" s="79"/>
      <c r="D81" s="699"/>
      <c r="E81" s="137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9"/>
    </row>
    <row r="82" spans="1:127" s="77" customFormat="1" ht="19.5" customHeight="1" hidden="1">
      <c r="A82" s="25"/>
      <c r="B82" s="78"/>
      <c r="C82" s="79"/>
      <c r="D82" s="117"/>
      <c r="E82" s="118"/>
      <c r="F82" s="645"/>
      <c r="G82" s="645"/>
      <c r="H82" s="645"/>
      <c r="I82" s="645"/>
      <c r="J82" s="645"/>
      <c r="K82" s="645"/>
      <c r="L82" s="645"/>
      <c r="M82" s="645"/>
      <c r="N82" s="645"/>
      <c r="O82" s="645"/>
      <c r="P82" s="645"/>
      <c r="Q82" s="645"/>
      <c r="R82" s="645"/>
      <c r="S82" s="645"/>
      <c r="T82" s="645"/>
      <c r="U82" s="645"/>
      <c r="V82" s="645"/>
      <c r="W82" s="645"/>
      <c r="X82" s="645"/>
      <c r="Y82" s="645"/>
      <c r="Z82" s="645"/>
      <c r="AA82" s="645"/>
      <c r="AB82" s="645"/>
      <c r="AC82" s="645"/>
      <c r="AD82" s="645"/>
      <c r="AE82" s="645"/>
      <c r="AF82" s="645"/>
      <c r="AG82" s="645"/>
      <c r="AH82" s="645"/>
      <c r="AI82" s="645"/>
      <c r="AJ82" s="645"/>
      <c r="AK82" s="645"/>
      <c r="AL82" s="645"/>
      <c r="AM82" s="645"/>
      <c r="AN82" s="645"/>
      <c r="AO82" s="645"/>
      <c r="AP82" s="645"/>
      <c r="AQ82" s="645"/>
      <c r="AR82" s="645"/>
      <c r="AS82" s="645"/>
      <c r="AT82" s="645"/>
      <c r="AU82" s="645"/>
      <c r="AV82" s="645"/>
      <c r="AW82" s="645"/>
      <c r="AX82" s="645"/>
      <c r="AY82" s="645"/>
      <c r="AZ82" s="645"/>
      <c r="BA82" s="645"/>
      <c r="BB82" s="645"/>
      <c r="BC82" s="645"/>
      <c r="BD82" s="645"/>
      <c r="BE82" s="645"/>
      <c r="BF82" s="645"/>
      <c r="BG82" s="645"/>
      <c r="BH82" s="645"/>
      <c r="BI82" s="645"/>
      <c r="BJ82" s="645"/>
      <c r="BK82" s="645"/>
      <c r="BL82" s="645"/>
      <c r="BM82" s="645"/>
      <c r="BN82" s="645"/>
      <c r="BO82" s="645"/>
      <c r="BP82" s="645"/>
      <c r="BQ82" s="645"/>
      <c r="BR82" s="645"/>
      <c r="BS82" s="645"/>
      <c r="BT82" s="645"/>
      <c r="BU82" s="645"/>
      <c r="BV82" s="645"/>
      <c r="BW82" s="645"/>
      <c r="BX82" s="645"/>
      <c r="BY82" s="645"/>
      <c r="BZ82" s="645"/>
      <c r="CA82" s="645"/>
      <c r="CB82" s="645"/>
      <c r="CC82" s="645"/>
      <c r="CD82" s="645"/>
      <c r="CE82" s="645"/>
      <c r="CF82" s="645"/>
      <c r="CG82" s="645"/>
      <c r="CH82" s="645"/>
      <c r="CI82" s="645"/>
      <c r="CJ82" s="645"/>
      <c r="CK82" s="645"/>
      <c r="CL82" s="645"/>
      <c r="CM82" s="645"/>
      <c r="CN82" s="645"/>
      <c r="CO82" s="645"/>
      <c r="CP82" s="645"/>
      <c r="CQ82" s="645"/>
      <c r="CR82" s="645"/>
      <c r="CS82" s="645"/>
      <c r="CT82" s="645"/>
      <c r="CU82" s="645"/>
      <c r="CV82" s="645"/>
      <c r="CW82" s="645"/>
      <c r="CX82" s="645"/>
      <c r="CY82" s="645"/>
      <c r="CZ82" s="645"/>
      <c r="DA82" s="645"/>
      <c r="DB82" s="645"/>
      <c r="DC82" s="645"/>
      <c r="DD82" s="645"/>
      <c r="DE82" s="645"/>
      <c r="DF82" s="645"/>
      <c r="DG82" s="645"/>
      <c r="DH82" s="645"/>
      <c r="DI82" s="645"/>
      <c r="DJ82" s="645"/>
      <c r="DK82" s="645"/>
      <c r="DL82" s="645"/>
      <c r="DM82" s="645"/>
      <c r="DN82" s="645"/>
      <c r="DO82" s="645"/>
      <c r="DP82" s="645"/>
      <c r="DQ82" s="645"/>
      <c r="DR82" s="645"/>
      <c r="DS82" s="645"/>
      <c r="DT82" s="645"/>
      <c r="DU82" s="645"/>
      <c r="DV82" s="645"/>
      <c r="DW82" s="645"/>
    </row>
    <row r="83" spans="1:127" s="77" customFormat="1" ht="19.5" customHeight="1" hidden="1" thickBot="1">
      <c r="A83" s="56"/>
      <c r="B83" s="78"/>
      <c r="C83" s="79"/>
      <c r="D83" s="126"/>
      <c r="E83" s="140"/>
      <c r="F83" s="645"/>
      <c r="G83" s="645"/>
      <c r="H83" s="645"/>
      <c r="I83" s="645"/>
      <c r="J83" s="645"/>
      <c r="K83" s="645"/>
      <c r="L83" s="645"/>
      <c r="M83" s="645"/>
      <c r="N83" s="645"/>
      <c r="O83" s="645"/>
      <c r="P83" s="645"/>
      <c r="Q83" s="645"/>
      <c r="R83" s="645"/>
      <c r="S83" s="645"/>
      <c r="T83" s="645"/>
      <c r="U83" s="645"/>
      <c r="V83" s="645"/>
      <c r="W83" s="645"/>
      <c r="X83" s="645"/>
      <c r="Y83" s="645"/>
      <c r="Z83" s="645"/>
      <c r="AA83" s="645"/>
      <c r="AB83" s="645"/>
      <c r="AC83" s="645"/>
      <c r="AD83" s="645"/>
      <c r="AE83" s="645"/>
      <c r="AF83" s="645"/>
      <c r="AG83" s="645"/>
      <c r="AH83" s="645"/>
      <c r="AI83" s="645"/>
      <c r="AJ83" s="645"/>
      <c r="AK83" s="645"/>
      <c r="AL83" s="645"/>
      <c r="AM83" s="645"/>
      <c r="AN83" s="645"/>
      <c r="AO83" s="645"/>
      <c r="AP83" s="645"/>
      <c r="AQ83" s="645"/>
      <c r="AR83" s="645"/>
      <c r="AS83" s="645"/>
      <c r="AT83" s="645"/>
      <c r="AU83" s="645"/>
      <c r="AV83" s="645"/>
      <c r="AW83" s="645"/>
      <c r="AX83" s="645"/>
      <c r="AY83" s="645"/>
      <c r="AZ83" s="645"/>
      <c r="BA83" s="645"/>
      <c r="BB83" s="645"/>
      <c r="BC83" s="645"/>
      <c r="BD83" s="645"/>
      <c r="BE83" s="645"/>
      <c r="BF83" s="645"/>
      <c r="BG83" s="645"/>
      <c r="BH83" s="645"/>
      <c r="BI83" s="645"/>
      <c r="BJ83" s="645"/>
      <c r="BK83" s="645"/>
      <c r="BL83" s="645"/>
      <c r="BM83" s="645"/>
      <c r="BN83" s="645"/>
      <c r="BO83" s="645"/>
      <c r="BP83" s="645"/>
      <c r="BQ83" s="645"/>
      <c r="BR83" s="645"/>
      <c r="BS83" s="645"/>
      <c r="BT83" s="645"/>
      <c r="BU83" s="645"/>
      <c r="BV83" s="645"/>
      <c r="BW83" s="645"/>
      <c r="BX83" s="645"/>
      <c r="BY83" s="645"/>
      <c r="BZ83" s="645"/>
      <c r="CA83" s="645"/>
      <c r="CB83" s="645"/>
      <c r="CC83" s="645"/>
      <c r="CD83" s="645"/>
      <c r="CE83" s="645"/>
      <c r="CF83" s="645"/>
      <c r="CG83" s="645"/>
      <c r="CH83" s="645"/>
      <c r="CI83" s="645"/>
      <c r="CJ83" s="645"/>
      <c r="CK83" s="645"/>
      <c r="CL83" s="645"/>
      <c r="CM83" s="645"/>
      <c r="CN83" s="645"/>
      <c r="CO83" s="645"/>
      <c r="CP83" s="645"/>
      <c r="CQ83" s="645"/>
      <c r="CR83" s="645"/>
      <c r="CS83" s="645"/>
      <c r="CT83" s="645"/>
      <c r="CU83" s="645"/>
      <c r="CV83" s="645"/>
      <c r="CW83" s="645"/>
      <c r="CX83" s="645"/>
      <c r="CY83" s="645"/>
      <c r="CZ83" s="645"/>
      <c r="DA83" s="645"/>
      <c r="DB83" s="645"/>
      <c r="DC83" s="645"/>
      <c r="DD83" s="645"/>
      <c r="DE83" s="645"/>
      <c r="DF83" s="645"/>
      <c r="DG83" s="645"/>
      <c r="DH83" s="645"/>
      <c r="DI83" s="645"/>
      <c r="DJ83" s="645"/>
      <c r="DK83" s="645"/>
      <c r="DL83" s="645"/>
      <c r="DM83" s="645"/>
      <c r="DN83" s="645"/>
      <c r="DO83" s="645"/>
      <c r="DP83" s="645"/>
      <c r="DQ83" s="645"/>
      <c r="DR83" s="645"/>
      <c r="DS83" s="645"/>
      <c r="DT83" s="645"/>
      <c r="DU83" s="645"/>
      <c r="DV83" s="645"/>
      <c r="DW83" s="645"/>
    </row>
    <row r="84" spans="1:127" s="77" customFormat="1" ht="19.5" customHeight="1" hidden="1">
      <c r="A84" s="56"/>
      <c r="B84" s="78"/>
      <c r="C84" s="79"/>
      <c r="D84" s="696"/>
      <c r="E84" s="697"/>
      <c r="F84" s="698"/>
      <c r="G84" s="69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8"/>
      <c r="V84" s="698"/>
      <c r="W84" s="698"/>
      <c r="X84" s="698"/>
      <c r="Y84" s="698"/>
      <c r="Z84" s="698"/>
      <c r="AA84" s="698"/>
      <c r="AB84" s="698"/>
      <c r="AC84" s="698"/>
      <c r="AD84" s="698"/>
      <c r="AE84" s="698"/>
      <c r="AF84" s="698"/>
      <c r="AG84" s="698"/>
      <c r="AH84" s="698"/>
      <c r="AI84" s="698"/>
      <c r="AJ84" s="698"/>
      <c r="AK84" s="698"/>
      <c r="AL84" s="698"/>
      <c r="AM84" s="698"/>
      <c r="AN84" s="698"/>
      <c r="AO84" s="698"/>
      <c r="AP84" s="698"/>
      <c r="AQ84" s="698"/>
      <c r="AR84" s="698"/>
      <c r="AS84" s="698"/>
      <c r="AT84" s="698"/>
      <c r="AU84" s="698"/>
      <c r="AV84" s="698"/>
      <c r="AW84" s="698"/>
      <c r="AX84" s="698"/>
      <c r="AY84" s="698"/>
      <c r="AZ84" s="698"/>
      <c r="BA84" s="698"/>
      <c r="BB84" s="698"/>
      <c r="BC84" s="698"/>
      <c r="BD84" s="698"/>
      <c r="BE84" s="698"/>
      <c r="BF84" s="698"/>
      <c r="BG84" s="698"/>
      <c r="BH84" s="698"/>
      <c r="BI84" s="698"/>
      <c r="BJ84" s="698"/>
      <c r="BK84" s="698"/>
      <c r="BL84" s="698"/>
      <c r="BM84" s="698"/>
      <c r="BN84" s="698"/>
      <c r="BO84" s="698"/>
      <c r="BP84" s="698"/>
      <c r="BQ84" s="698"/>
      <c r="BR84" s="698"/>
      <c r="BS84" s="698"/>
      <c r="BT84" s="698"/>
      <c r="BU84" s="698"/>
      <c r="BV84" s="698"/>
      <c r="BW84" s="698"/>
      <c r="BX84" s="698"/>
      <c r="BY84" s="698"/>
      <c r="BZ84" s="698"/>
      <c r="CA84" s="698"/>
      <c r="CB84" s="698"/>
      <c r="CC84" s="698"/>
      <c r="CD84" s="698"/>
      <c r="CE84" s="698"/>
      <c r="CF84" s="698"/>
      <c r="CG84" s="698"/>
      <c r="CH84" s="698"/>
      <c r="CI84" s="698"/>
      <c r="CJ84" s="698"/>
      <c r="CK84" s="698"/>
      <c r="CL84" s="698"/>
      <c r="CM84" s="698"/>
      <c r="CN84" s="698"/>
      <c r="CO84" s="698"/>
      <c r="CP84" s="698"/>
      <c r="CQ84" s="698"/>
      <c r="CR84" s="698"/>
      <c r="CS84" s="698"/>
      <c r="CT84" s="698"/>
      <c r="CU84" s="698"/>
      <c r="CV84" s="698"/>
      <c r="CW84" s="698"/>
      <c r="CX84" s="698"/>
      <c r="CY84" s="698"/>
      <c r="CZ84" s="698"/>
      <c r="DA84" s="698"/>
      <c r="DB84" s="698"/>
      <c r="DC84" s="698"/>
      <c r="DD84" s="698"/>
      <c r="DE84" s="698"/>
      <c r="DF84" s="698"/>
      <c r="DG84" s="698"/>
      <c r="DH84" s="698"/>
      <c r="DI84" s="698"/>
      <c r="DJ84" s="698"/>
      <c r="DK84" s="698"/>
      <c r="DL84" s="698"/>
      <c r="DM84" s="698"/>
      <c r="DN84" s="698"/>
      <c r="DO84" s="698"/>
      <c r="DP84" s="698"/>
      <c r="DQ84" s="698"/>
      <c r="DR84" s="698"/>
      <c r="DS84" s="698"/>
      <c r="DT84" s="698"/>
      <c r="DU84" s="698"/>
      <c r="DV84" s="698"/>
      <c r="DW84" s="698"/>
    </row>
    <row r="85" spans="1:127" s="77" customFormat="1" ht="40.5" customHeight="1" hidden="1">
      <c r="A85" s="56"/>
      <c r="B85" s="78"/>
      <c r="C85" s="79"/>
      <c r="D85" s="700"/>
      <c r="E85" s="137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9"/>
    </row>
    <row r="86" spans="1:127" s="77" customFormat="1" ht="41.25" customHeight="1" hidden="1">
      <c r="A86" s="56"/>
      <c r="B86" s="78"/>
      <c r="C86" s="79"/>
      <c r="D86" s="700"/>
      <c r="E86" s="137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9"/>
    </row>
    <row r="87" spans="1:127" s="77" customFormat="1" ht="42" customHeight="1" hidden="1" thickBot="1">
      <c r="A87" s="56"/>
      <c r="B87" s="78"/>
      <c r="C87" s="79"/>
      <c r="D87" s="700"/>
      <c r="E87" s="137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9"/>
    </row>
    <row r="88" spans="1:127" s="77" customFormat="1" ht="19.5" customHeight="1" hidden="1">
      <c r="A88" s="56"/>
      <c r="B88" s="78"/>
      <c r="C88" s="79"/>
      <c r="D88" s="117"/>
      <c r="E88" s="118"/>
      <c r="F88" s="645"/>
      <c r="G88" s="645"/>
      <c r="H88" s="645"/>
      <c r="I88" s="645"/>
      <c r="J88" s="645"/>
      <c r="K88" s="645"/>
      <c r="L88" s="645"/>
      <c r="M88" s="645"/>
      <c r="N88" s="645"/>
      <c r="O88" s="645"/>
      <c r="P88" s="645"/>
      <c r="Q88" s="645"/>
      <c r="R88" s="645"/>
      <c r="S88" s="645"/>
      <c r="T88" s="645"/>
      <c r="U88" s="645"/>
      <c r="V88" s="645"/>
      <c r="W88" s="645"/>
      <c r="X88" s="645"/>
      <c r="Y88" s="645"/>
      <c r="Z88" s="645"/>
      <c r="AA88" s="645"/>
      <c r="AB88" s="645"/>
      <c r="AC88" s="645"/>
      <c r="AD88" s="645"/>
      <c r="AE88" s="645"/>
      <c r="AF88" s="645"/>
      <c r="AG88" s="645"/>
      <c r="AH88" s="645"/>
      <c r="AI88" s="645"/>
      <c r="AJ88" s="645"/>
      <c r="AK88" s="645"/>
      <c r="AL88" s="645"/>
      <c r="AM88" s="645"/>
      <c r="AN88" s="645"/>
      <c r="AO88" s="645"/>
      <c r="AP88" s="645"/>
      <c r="AQ88" s="645"/>
      <c r="AR88" s="645"/>
      <c r="AS88" s="645"/>
      <c r="AT88" s="645"/>
      <c r="AU88" s="645"/>
      <c r="AV88" s="645"/>
      <c r="AW88" s="645"/>
      <c r="AX88" s="645"/>
      <c r="AY88" s="645"/>
      <c r="AZ88" s="645"/>
      <c r="BA88" s="645"/>
      <c r="BB88" s="645"/>
      <c r="BC88" s="645"/>
      <c r="BD88" s="645"/>
      <c r="BE88" s="645"/>
      <c r="BF88" s="645"/>
      <c r="BG88" s="645"/>
      <c r="BH88" s="645"/>
      <c r="BI88" s="645"/>
      <c r="BJ88" s="645"/>
      <c r="BK88" s="645"/>
      <c r="BL88" s="645"/>
      <c r="BM88" s="645"/>
      <c r="BN88" s="645"/>
      <c r="BO88" s="645"/>
      <c r="BP88" s="645"/>
      <c r="BQ88" s="645"/>
      <c r="BR88" s="645"/>
      <c r="BS88" s="645"/>
      <c r="BT88" s="645"/>
      <c r="BU88" s="645"/>
      <c r="BV88" s="645"/>
      <c r="BW88" s="645"/>
      <c r="BX88" s="645"/>
      <c r="BY88" s="645"/>
      <c r="BZ88" s="645"/>
      <c r="CA88" s="645"/>
      <c r="CB88" s="645"/>
      <c r="CC88" s="645"/>
      <c r="CD88" s="645"/>
      <c r="CE88" s="645"/>
      <c r="CF88" s="645"/>
      <c r="CG88" s="645"/>
      <c r="CH88" s="645"/>
      <c r="CI88" s="645"/>
      <c r="CJ88" s="645"/>
      <c r="CK88" s="645"/>
      <c r="CL88" s="645"/>
      <c r="CM88" s="645"/>
      <c r="CN88" s="645"/>
      <c r="CO88" s="645"/>
      <c r="CP88" s="645"/>
      <c r="CQ88" s="645"/>
      <c r="CR88" s="645"/>
      <c r="CS88" s="645"/>
      <c r="CT88" s="645"/>
      <c r="CU88" s="645"/>
      <c r="CV88" s="645"/>
      <c r="CW88" s="645"/>
      <c r="CX88" s="645"/>
      <c r="CY88" s="645"/>
      <c r="CZ88" s="645"/>
      <c r="DA88" s="645"/>
      <c r="DB88" s="645"/>
      <c r="DC88" s="645"/>
      <c r="DD88" s="645"/>
      <c r="DE88" s="645"/>
      <c r="DF88" s="645"/>
      <c r="DG88" s="645"/>
      <c r="DH88" s="645"/>
      <c r="DI88" s="645"/>
      <c r="DJ88" s="645"/>
      <c r="DK88" s="645"/>
      <c r="DL88" s="645"/>
      <c r="DM88" s="645"/>
      <c r="DN88" s="645"/>
      <c r="DO88" s="645"/>
      <c r="DP88" s="645"/>
      <c r="DQ88" s="645"/>
      <c r="DR88" s="645"/>
      <c r="DS88" s="645"/>
      <c r="DT88" s="645"/>
      <c r="DU88" s="645"/>
      <c r="DV88" s="645"/>
      <c r="DW88" s="645"/>
    </row>
    <row r="89" spans="1:127" s="77" customFormat="1" ht="19.5" customHeight="1" hidden="1" thickBot="1">
      <c r="A89" s="56"/>
      <c r="B89" s="78"/>
      <c r="C89" s="79"/>
      <c r="D89" s="126"/>
      <c r="E89" s="140"/>
      <c r="F89" s="645"/>
      <c r="G89" s="645"/>
      <c r="H89" s="645"/>
      <c r="I89" s="645"/>
      <c r="J89" s="645"/>
      <c r="K89" s="645"/>
      <c r="L89" s="645"/>
      <c r="M89" s="645"/>
      <c r="N89" s="645"/>
      <c r="O89" s="645"/>
      <c r="P89" s="645"/>
      <c r="Q89" s="645"/>
      <c r="R89" s="645"/>
      <c r="S89" s="645"/>
      <c r="T89" s="645"/>
      <c r="U89" s="645"/>
      <c r="V89" s="645"/>
      <c r="W89" s="645"/>
      <c r="X89" s="645"/>
      <c r="Y89" s="645"/>
      <c r="Z89" s="645"/>
      <c r="AA89" s="645"/>
      <c r="AB89" s="645"/>
      <c r="AC89" s="645"/>
      <c r="AD89" s="645"/>
      <c r="AE89" s="645"/>
      <c r="AF89" s="645"/>
      <c r="AG89" s="645"/>
      <c r="AH89" s="645"/>
      <c r="AI89" s="645"/>
      <c r="AJ89" s="645"/>
      <c r="AK89" s="645"/>
      <c r="AL89" s="645"/>
      <c r="AM89" s="645"/>
      <c r="AN89" s="645"/>
      <c r="AO89" s="645"/>
      <c r="AP89" s="645"/>
      <c r="AQ89" s="645"/>
      <c r="AR89" s="645"/>
      <c r="AS89" s="645"/>
      <c r="AT89" s="645"/>
      <c r="AU89" s="645"/>
      <c r="AV89" s="645"/>
      <c r="AW89" s="645"/>
      <c r="AX89" s="645"/>
      <c r="AY89" s="645"/>
      <c r="AZ89" s="645"/>
      <c r="BA89" s="645"/>
      <c r="BB89" s="645"/>
      <c r="BC89" s="645"/>
      <c r="BD89" s="645"/>
      <c r="BE89" s="645"/>
      <c r="BF89" s="645"/>
      <c r="BG89" s="645"/>
      <c r="BH89" s="645"/>
      <c r="BI89" s="645"/>
      <c r="BJ89" s="645"/>
      <c r="BK89" s="645"/>
      <c r="BL89" s="645"/>
      <c r="BM89" s="645"/>
      <c r="BN89" s="645"/>
      <c r="BO89" s="645"/>
      <c r="BP89" s="645"/>
      <c r="BQ89" s="645"/>
      <c r="BR89" s="645"/>
      <c r="BS89" s="645"/>
      <c r="BT89" s="645"/>
      <c r="BU89" s="645"/>
      <c r="BV89" s="645"/>
      <c r="BW89" s="645"/>
      <c r="BX89" s="645"/>
      <c r="BY89" s="645"/>
      <c r="BZ89" s="645"/>
      <c r="CA89" s="645"/>
      <c r="CB89" s="645"/>
      <c r="CC89" s="645"/>
      <c r="CD89" s="645"/>
      <c r="CE89" s="645"/>
      <c r="CF89" s="645"/>
      <c r="CG89" s="645"/>
      <c r="CH89" s="645"/>
      <c r="CI89" s="645"/>
      <c r="CJ89" s="645"/>
      <c r="CK89" s="645"/>
      <c r="CL89" s="645"/>
      <c r="CM89" s="645"/>
      <c r="CN89" s="645"/>
      <c r="CO89" s="645"/>
      <c r="CP89" s="645"/>
      <c r="CQ89" s="645"/>
      <c r="CR89" s="645"/>
      <c r="CS89" s="645"/>
      <c r="CT89" s="645"/>
      <c r="CU89" s="645"/>
      <c r="CV89" s="645"/>
      <c r="CW89" s="645"/>
      <c r="CX89" s="645"/>
      <c r="CY89" s="645"/>
      <c r="CZ89" s="645"/>
      <c r="DA89" s="645"/>
      <c r="DB89" s="645"/>
      <c r="DC89" s="645"/>
      <c r="DD89" s="645"/>
      <c r="DE89" s="645"/>
      <c r="DF89" s="645"/>
      <c r="DG89" s="645"/>
      <c r="DH89" s="645"/>
      <c r="DI89" s="645"/>
      <c r="DJ89" s="645"/>
      <c r="DK89" s="645"/>
      <c r="DL89" s="645"/>
      <c r="DM89" s="645"/>
      <c r="DN89" s="645"/>
      <c r="DO89" s="645"/>
      <c r="DP89" s="645"/>
      <c r="DQ89" s="645"/>
      <c r="DR89" s="645"/>
      <c r="DS89" s="645"/>
      <c r="DT89" s="645"/>
      <c r="DU89" s="645"/>
      <c r="DV89" s="645"/>
      <c r="DW89" s="645"/>
    </row>
    <row r="90" spans="1:127" s="77" customFormat="1" ht="19.5" customHeight="1" hidden="1">
      <c r="A90" s="56"/>
      <c r="B90" s="78"/>
      <c r="C90" s="79"/>
      <c r="D90" s="696"/>
      <c r="E90" s="697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8"/>
      <c r="R90" s="698"/>
      <c r="S90" s="698"/>
      <c r="T90" s="698"/>
      <c r="U90" s="698"/>
      <c r="V90" s="698"/>
      <c r="W90" s="698"/>
      <c r="X90" s="698"/>
      <c r="Y90" s="698"/>
      <c r="Z90" s="698"/>
      <c r="AA90" s="698"/>
      <c r="AB90" s="698"/>
      <c r="AC90" s="698"/>
      <c r="AD90" s="698"/>
      <c r="AE90" s="698"/>
      <c r="AF90" s="698"/>
      <c r="AG90" s="698"/>
      <c r="AH90" s="698"/>
      <c r="AI90" s="698"/>
      <c r="AJ90" s="698"/>
      <c r="AK90" s="698"/>
      <c r="AL90" s="698"/>
      <c r="AM90" s="698"/>
      <c r="AN90" s="698"/>
      <c r="AO90" s="698"/>
      <c r="AP90" s="698"/>
      <c r="AQ90" s="698"/>
      <c r="AR90" s="698"/>
      <c r="AS90" s="698"/>
      <c r="AT90" s="698"/>
      <c r="AU90" s="698"/>
      <c r="AV90" s="698"/>
      <c r="AW90" s="698"/>
      <c r="AX90" s="698"/>
      <c r="AY90" s="698"/>
      <c r="AZ90" s="698"/>
      <c r="BA90" s="698"/>
      <c r="BB90" s="698"/>
      <c r="BC90" s="698"/>
      <c r="BD90" s="698"/>
      <c r="BE90" s="698"/>
      <c r="BF90" s="698"/>
      <c r="BG90" s="698"/>
      <c r="BH90" s="698"/>
      <c r="BI90" s="698"/>
      <c r="BJ90" s="698"/>
      <c r="BK90" s="698"/>
      <c r="BL90" s="698"/>
      <c r="BM90" s="698"/>
      <c r="BN90" s="698"/>
      <c r="BO90" s="698"/>
      <c r="BP90" s="698"/>
      <c r="BQ90" s="698"/>
      <c r="BR90" s="698"/>
      <c r="BS90" s="698"/>
      <c r="BT90" s="698"/>
      <c r="BU90" s="698"/>
      <c r="BV90" s="698"/>
      <c r="BW90" s="698"/>
      <c r="BX90" s="698"/>
      <c r="BY90" s="698"/>
      <c r="BZ90" s="698"/>
      <c r="CA90" s="698"/>
      <c r="CB90" s="698"/>
      <c r="CC90" s="698"/>
      <c r="CD90" s="698"/>
      <c r="CE90" s="698"/>
      <c r="CF90" s="698"/>
      <c r="CG90" s="698"/>
      <c r="CH90" s="698"/>
      <c r="CI90" s="698"/>
      <c r="CJ90" s="698"/>
      <c r="CK90" s="698"/>
      <c r="CL90" s="698"/>
      <c r="CM90" s="698"/>
      <c r="CN90" s="698"/>
      <c r="CO90" s="698"/>
      <c r="CP90" s="698"/>
      <c r="CQ90" s="698"/>
      <c r="CR90" s="698"/>
      <c r="CS90" s="698"/>
      <c r="CT90" s="698"/>
      <c r="CU90" s="698"/>
      <c r="CV90" s="698"/>
      <c r="CW90" s="698"/>
      <c r="CX90" s="698"/>
      <c r="CY90" s="698"/>
      <c r="CZ90" s="698"/>
      <c r="DA90" s="698"/>
      <c r="DB90" s="698"/>
      <c r="DC90" s="698"/>
      <c r="DD90" s="698"/>
      <c r="DE90" s="698"/>
      <c r="DF90" s="698"/>
      <c r="DG90" s="698"/>
      <c r="DH90" s="698"/>
      <c r="DI90" s="698"/>
      <c r="DJ90" s="698"/>
      <c r="DK90" s="698"/>
      <c r="DL90" s="698"/>
      <c r="DM90" s="698"/>
      <c r="DN90" s="698"/>
      <c r="DO90" s="698"/>
      <c r="DP90" s="698"/>
      <c r="DQ90" s="698"/>
      <c r="DR90" s="698"/>
      <c r="DS90" s="698"/>
      <c r="DT90" s="698"/>
      <c r="DU90" s="698"/>
      <c r="DV90" s="698"/>
      <c r="DW90" s="698"/>
    </row>
    <row r="91" spans="1:127" ht="16.5" hidden="1" thickBot="1">
      <c r="A91" s="56"/>
      <c r="B91" s="78"/>
      <c r="C91" s="62"/>
      <c r="D91" s="696"/>
      <c r="E91" s="697"/>
      <c r="F91" s="698"/>
      <c r="G91" s="698"/>
      <c r="H91" s="698"/>
      <c r="I91" s="698"/>
      <c r="J91" s="698"/>
      <c r="K91" s="698"/>
      <c r="L91" s="698"/>
      <c r="M91" s="698"/>
      <c r="N91" s="698"/>
      <c r="O91" s="698"/>
      <c r="P91" s="698"/>
      <c r="Q91" s="698"/>
      <c r="R91" s="698"/>
      <c r="S91" s="698"/>
      <c r="T91" s="698"/>
      <c r="U91" s="698"/>
      <c r="V91" s="698"/>
      <c r="W91" s="698"/>
      <c r="X91" s="698"/>
      <c r="Y91" s="698"/>
      <c r="Z91" s="698"/>
      <c r="AA91" s="698"/>
      <c r="AB91" s="698"/>
      <c r="AC91" s="698"/>
      <c r="AD91" s="698"/>
      <c r="AE91" s="698"/>
      <c r="AF91" s="698"/>
      <c r="AG91" s="698"/>
      <c r="AH91" s="698"/>
      <c r="AI91" s="698"/>
      <c r="AJ91" s="698"/>
      <c r="AK91" s="698"/>
      <c r="AL91" s="698"/>
      <c r="AM91" s="698"/>
      <c r="AN91" s="698"/>
      <c r="AO91" s="698"/>
      <c r="AP91" s="698"/>
      <c r="AQ91" s="698"/>
      <c r="AR91" s="698"/>
      <c r="AS91" s="698"/>
      <c r="AT91" s="698"/>
      <c r="AU91" s="698"/>
      <c r="AV91" s="698"/>
      <c r="AW91" s="698"/>
      <c r="AX91" s="698"/>
      <c r="AY91" s="698"/>
      <c r="AZ91" s="698"/>
      <c r="BA91" s="698"/>
      <c r="BB91" s="698"/>
      <c r="BC91" s="698"/>
      <c r="BD91" s="698"/>
      <c r="BE91" s="698"/>
      <c r="BF91" s="698"/>
      <c r="BG91" s="698"/>
      <c r="BH91" s="698"/>
      <c r="BI91" s="698"/>
      <c r="BJ91" s="698"/>
      <c r="BK91" s="698"/>
      <c r="BL91" s="698"/>
      <c r="BM91" s="698"/>
      <c r="BN91" s="698"/>
      <c r="BO91" s="698"/>
      <c r="BP91" s="698"/>
      <c r="BQ91" s="698"/>
      <c r="BR91" s="698"/>
      <c r="BS91" s="698"/>
      <c r="BT91" s="698"/>
      <c r="BU91" s="698"/>
      <c r="BV91" s="698"/>
      <c r="BW91" s="698"/>
      <c r="BX91" s="698"/>
      <c r="BY91" s="698"/>
      <c r="BZ91" s="698"/>
      <c r="CA91" s="698"/>
      <c r="CB91" s="698"/>
      <c r="CC91" s="698"/>
      <c r="CD91" s="698"/>
      <c r="CE91" s="698"/>
      <c r="CF91" s="698"/>
      <c r="CG91" s="698"/>
      <c r="CH91" s="698"/>
      <c r="CI91" s="698"/>
      <c r="CJ91" s="698"/>
      <c r="CK91" s="698"/>
      <c r="CL91" s="698"/>
      <c r="CM91" s="698"/>
      <c r="CN91" s="698"/>
      <c r="CO91" s="698"/>
      <c r="CP91" s="698"/>
      <c r="CQ91" s="698"/>
      <c r="CR91" s="698"/>
      <c r="CS91" s="698"/>
      <c r="CT91" s="698"/>
      <c r="CU91" s="698"/>
      <c r="CV91" s="698"/>
      <c r="CW91" s="698"/>
      <c r="CX91" s="698"/>
      <c r="CY91" s="698"/>
      <c r="CZ91" s="698"/>
      <c r="DA91" s="698"/>
      <c r="DB91" s="698"/>
      <c r="DC91" s="698"/>
      <c r="DD91" s="698"/>
      <c r="DE91" s="698"/>
      <c r="DF91" s="698"/>
      <c r="DG91" s="698"/>
      <c r="DH91" s="698"/>
      <c r="DI91" s="698"/>
      <c r="DJ91" s="698"/>
      <c r="DK91" s="698"/>
      <c r="DL91" s="698"/>
      <c r="DM91" s="698"/>
      <c r="DN91" s="698"/>
      <c r="DO91" s="698"/>
      <c r="DP91" s="698"/>
      <c r="DQ91" s="698"/>
      <c r="DR91" s="698"/>
      <c r="DS91" s="698"/>
      <c r="DT91" s="698"/>
      <c r="DU91" s="698"/>
      <c r="DV91" s="698"/>
      <c r="DW91" s="698"/>
    </row>
    <row r="92" spans="1:127" s="77" customFormat="1" ht="19.5" customHeight="1" hidden="1">
      <c r="A92" s="56"/>
      <c r="B92" s="78"/>
      <c r="C92" s="79"/>
      <c r="D92" s="117"/>
      <c r="E92" s="118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20"/>
    </row>
    <row r="93" spans="1:127" s="77" customFormat="1" ht="19.5" customHeight="1" hidden="1" thickBot="1">
      <c r="A93" s="56"/>
      <c r="B93" s="746"/>
      <c r="C93" s="79"/>
      <c r="D93" s="126"/>
      <c r="E93" s="140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5"/>
      <c r="X93" s="645"/>
      <c r="Y93" s="645"/>
      <c r="Z93" s="645"/>
      <c r="AA93" s="645"/>
      <c r="AB93" s="645"/>
      <c r="AC93" s="645"/>
      <c r="AD93" s="645"/>
      <c r="AE93" s="645"/>
      <c r="AF93" s="645"/>
      <c r="AG93" s="645"/>
      <c r="AH93" s="645"/>
      <c r="AI93" s="645"/>
      <c r="AJ93" s="645"/>
      <c r="AK93" s="645"/>
      <c r="AL93" s="645"/>
      <c r="AM93" s="645"/>
      <c r="AN93" s="645"/>
      <c r="AO93" s="645"/>
      <c r="AP93" s="645"/>
      <c r="AQ93" s="645"/>
      <c r="AR93" s="645"/>
      <c r="AS93" s="645"/>
      <c r="AT93" s="645"/>
      <c r="AU93" s="645"/>
      <c r="AV93" s="645"/>
      <c r="AW93" s="645"/>
      <c r="AX93" s="645"/>
      <c r="AY93" s="645"/>
      <c r="AZ93" s="645"/>
      <c r="BA93" s="645"/>
      <c r="BB93" s="645"/>
      <c r="BC93" s="645"/>
      <c r="BD93" s="645"/>
      <c r="BE93" s="645"/>
      <c r="BF93" s="645"/>
      <c r="BG93" s="645"/>
      <c r="BH93" s="645"/>
      <c r="BI93" s="645"/>
      <c r="BJ93" s="645"/>
      <c r="BK93" s="645"/>
      <c r="BL93" s="645"/>
      <c r="BM93" s="645"/>
      <c r="BN93" s="645"/>
      <c r="BO93" s="645"/>
      <c r="BP93" s="645"/>
      <c r="BQ93" s="645"/>
      <c r="BR93" s="645"/>
      <c r="BS93" s="645"/>
      <c r="BT93" s="645"/>
      <c r="BU93" s="645"/>
      <c r="BV93" s="645"/>
      <c r="BW93" s="645"/>
      <c r="BX93" s="645"/>
      <c r="BY93" s="645"/>
      <c r="BZ93" s="645"/>
      <c r="CA93" s="645"/>
      <c r="CB93" s="645"/>
      <c r="CC93" s="645"/>
      <c r="CD93" s="645"/>
      <c r="CE93" s="645"/>
      <c r="CF93" s="645"/>
      <c r="CG93" s="645"/>
      <c r="CH93" s="645"/>
      <c r="CI93" s="645"/>
      <c r="CJ93" s="645"/>
      <c r="CK93" s="645"/>
      <c r="CL93" s="645"/>
      <c r="CM93" s="645"/>
      <c r="CN93" s="645"/>
      <c r="CO93" s="645"/>
      <c r="CP93" s="645"/>
      <c r="CQ93" s="645"/>
      <c r="CR93" s="645"/>
      <c r="CS93" s="645"/>
      <c r="CT93" s="645"/>
      <c r="CU93" s="645"/>
      <c r="CV93" s="645"/>
      <c r="CW93" s="645"/>
      <c r="CX93" s="645"/>
      <c r="CY93" s="645"/>
      <c r="CZ93" s="645"/>
      <c r="DA93" s="645"/>
      <c r="DB93" s="645"/>
      <c r="DC93" s="645"/>
      <c r="DD93" s="645"/>
      <c r="DE93" s="645"/>
      <c r="DF93" s="645"/>
      <c r="DG93" s="645"/>
      <c r="DH93" s="645"/>
      <c r="DI93" s="645"/>
      <c r="DJ93" s="645"/>
      <c r="DK93" s="645"/>
      <c r="DL93" s="645"/>
      <c r="DM93" s="645"/>
      <c r="DN93" s="645"/>
      <c r="DO93" s="645"/>
      <c r="DP93" s="645"/>
      <c r="DQ93" s="645"/>
      <c r="DR93" s="645"/>
      <c r="DS93" s="645"/>
      <c r="DT93" s="645"/>
      <c r="DU93" s="645"/>
      <c r="DV93" s="645"/>
      <c r="DW93" s="645"/>
    </row>
    <row r="94" spans="1:127" s="77" customFormat="1" ht="19.5" customHeight="1" hidden="1" thickBot="1">
      <c r="A94" s="56"/>
      <c r="B94" s="746"/>
      <c r="C94" s="79"/>
      <c r="D94" s="126"/>
      <c r="E94" s="140"/>
      <c r="F94" s="708"/>
      <c r="G94" s="645"/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5"/>
      <c r="V94" s="645"/>
      <c r="W94" s="645"/>
      <c r="X94" s="645"/>
      <c r="Y94" s="645"/>
      <c r="Z94" s="645"/>
      <c r="AA94" s="645"/>
      <c r="AB94" s="645"/>
      <c r="AC94" s="645"/>
      <c r="AD94" s="645"/>
      <c r="AE94" s="645"/>
      <c r="AF94" s="645"/>
      <c r="AG94" s="645"/>
      <c r="AH94" s="645"/>
      <c r="AI94" s="645"/>
      <c r="AJ94" s="645"/>
      <c r="AK94" s="645"/>
      <c r="AL94" s="645"/>
      <c r="AM94" s="645"/>
      <c r="AN94" s="645"/>
      <c r="AO94" s="645"/>
      <c r="AP94" s="645"/>
      <c r="AQ94" s="645"/>
      <c r="AR94" s="645"/>
      <c r="AS94" s="645"/>
      <c r="AT94" s="645"/>
      <c r="AU94" s="645"/>
      <c r="AV94" s="645"/>
      <c r="AW94" s="645"/>
      <c r="AX94" s="645"/>
      <c r="AY94" s="645"/>
      <c r="AZ94" s="645"/>
      <c r="BA94" s="645"/>
      <c r="BB94" s="645"/>
      <c r="BC94" s="645"/>
      <c r="BD94" s="645"/>
      <c r="BE94" s="645"/>
      <c r="BF94" s="645"/>
      <c r="BG94" s="645"/>
      <c r="BH94" s="645"/>
      <c r="BI94" s="645"/>
      <c r="BJ94" s="645"/>
      <c r="BK94" s="645"/>
      <c r="BL94" s="645"/>
      <c r="BM94" s="645"/>
      <c r="BN94" s="645"/>
      <c r="BO94" s="645"/>
      <c r="BP94" s="645"/>
      <c r="BQ94" s="645"/>
      <c r="BR94" s="645"/>
      <c r="BS94" s="645"/>
      <c r="BT94" s="645"/>
      <c r="BU94" s="645"/>
      <c r="BV94" s="645"/>
      <c r="BW94" s="645"/>
      <c r="BX94" s="645"/>
      <c r="BY94" s="645"/>
      <c r="BZ94" s="645"/>
      <c r="CA94" s="645"/>
      <c r="CB94" s="645"/>
      <c r="CC94" s="645"/>
      <c r="CD94" s="645"/>
      <c r="CE94" s="645"/>
      <c r="CF94" s="645"/>
      <c r="CG94" s="645"/>
      <c r="CH94" s="645"/>
      <c r="CI94" s="645"/>
      <c r="CJ94" s="645"/>
      <c r="CK94" s="645"/>
      <c r="CL94" s="645"/>
      <c r="CM94" s="645"/>
      <c r="CN94" s="645"/>
      <c r="CO94" s="645"/>
      <c r="CP94" s="645"/>
      <c r="CQ94" s="645"/>
      <c r="CR94" s="645"/>
      <c r="CS94" s="645"/>
      <c r="CT94" s="645"/>
      <c r="CU94" s="645"/>
      <c r="CV94" s="645"/>
      <c r="CW94" s="645"/>
      <c r="CX94" s="645"/>
      <c r="CY94" s="645"/>
      <c r="CZ94" s="645"/>
      <c r="DA94" s="645"/>
      <c r="DB94" s="645"/>
      <c r="DC94" s="645"/>
      <c r="DD94" s="645"/>
      <c r="DE94" s="645"/>
      <c r="DF94" s="645"/>
      <c r="DG94" s="645"/>
      <c r="DH94" s="645"/>
      <c r="DI94" s="645"/>
      <c r="DJ94" s="645"/>
      <c r="DK94" s="645"/>
      <c r="DL94" s="645"/>
      <c r="DM94" s="645"/>
      <c r="DN94" s="645"/>
      <c r="DO94" s="645"/>
      <c r="DP94" s="645"/>
      <c r="DQ94" s="645"/>
      <c r="DR94" s="645"/>
      <c r="DS94" s="645"/>
      <c r="DT94" s="645"/>
      <c r="DU94" s="645"/>
      <c r="DV94" s="645"/>
      <c r="DW94" s="645"/>
    </row>
    <row r="95" spans="1:127" ht="13.5" hidden="1" thickBot="1">
      <c r="A95" s="56"/>
      <c r="B95" s="746"/>
      <c r="C95" s="84"/>
      <c r="DW95" s="141"/>
    </row>
    <row r="96" spans="1:126" s="77" customFormat="1" ht="19.5" customHeight="1" hidden="1" thickBot="1">
      <c r="A96" s="56"/>
      <c r="B96" s="746"/>
      <c r="C96" s="79"/>
      <c r="D96" s="80"/>
      <c r="E96" s="81"/>
      <c r="F96" s="645"/>
      <c r="G96" s="645"/>
      <c r="H96" s="645"/>
      <c r="I96" s="645"/>
      <c r="J96" s="645"/>
      <c r="K96" s="645"/>
      <c r="L96" s="645"/>
      <c r="M96" s="645"/>
      <c r="N96" s="645"/>
      <c r="O96" s="645"/>
      <c r="P96" s="645"/>
      <c r="Q96" s="645"/>
      <c r="R96" s="645"/>
      <c r="S96" s="645"/>
      <c r="T96" s="645"/>
      <c r="U96" s="645"/>
      <c r="V96" s="645"/>
      <c r="W96" s="645"/>
      <c r="X96" s="645"/>
      <c r="Y96" s="645"/>
      <c r="Z96" s="645"/>
      <c r="AA96" s="645"/>
      <c r="AB96" s="645"/>
      <c r="AC96" s="645"/>
      <c r="AD96" s="645"/>
      <c r="AE96" s="645"/>
      <c r="AF96" s="645"/>
      <c r="AG96" s="645"/>
      <c r="AH96" s="645"/>
      <c r="AI96" s="645"/>
      <c r="AJ96" s="645"/>
      <c r="AK96" s="645"/>
      <c r="AL96" s="645"/>
      <c r="AM96" s="645"/>
      <c r="AN96" s="645"/>
      <c r="AO96" s="645"/>
      <c r="AP96" s="645"/>
      <c r="AQ96" s="645"/>
      <c r="AR96" s="645"/>
      <c r="AS96" s="645"/>
      <c r="AT96" s="645"/>
      <c r="AU96" s="645"/>
      <c r="AV96" s="645"/>
      <c r="AW96" s="645"/>
      <c r="AX96" s="645"/>
      <c r="AY96" s="645"/>
      <c r="AZ96" s="645"/>
      <c r="BA96" s="645"/>
      <c r="BB96" s="645"/>
      <c r="BC96" s="645"/>
      <c r="BD96" s="645"/>
      <c r="BE96" s="645"/>
      <c r="BF96" s="645"/>
      <c r="BG96" s="645"/>
      <c r="BH96" s="645"/>
      <c r="BI96" s="645"/>
      <c r="BJ96" s="645"/>
      <c r="BK96" s="645"/>
      <c r="BL96" s="645"/>
      <c r="BM96" s="645"/>
      <c r="BN96" s="645"/>
      <c r="BO96" s="645"/>
      <c r="BP96" s="645"/>
      <c r="BQ96" s="645"/>
      <c r="BR96" s="645"/>
      <c r="BS96" s="645"/>
      <c r="BT96" s="645"/>
      <c r="BU96" s="645"/>
      <c r="BV96" s="645"/>
      <c r="BW96" s="645"/>
      <c r="BX96" s="645"/>
      <c r="BY96" s="645"/>
      <c r="BZ96" s="645"/>
      <c r="CA96" s="645"/>
      <c r="CB96" s="645"/>
      <c r="CC96" s="645"/>
      <c r="CD96" s="645"/>
      <c r="CE96" s="645"/>
      <c r="CF96" s="645"/>
      <c r="CG96" s="645"/>
      <c r="CH96" s="645"/>
      <c r="CI96" s="645"/>
      <c r="CJ96" s="645"/>
      <c r="CK96" s="645"/>
      <c r="CL96" s="645"/>
      <c r="CM96" s="645"/>
      <c r="CN96" s="645"/>
      <c r="CO96" s="645"/>
      <c r="CP96" s="645"/>
      <c r="CQ96" s="645"/>
      <c r="CR96" s="645"/>
      <c r="CS96" s="645"/>
      <c r="CT96" s="645"/>
      <c r="CU96" s="645"/>
      <c r="CV96" s="645"/>
      <c r="CW96" s="645"/>
      <c r="CX96" s="645"/>
      <c r="CY96" s="645"/>
      <c r="CZ96" s="645"/>
      <c r="DA96" s="645"/>
      <c r="DB96" s="645"/>
      <c r="DC96" s="645"/>
      <c r="DD96" s="645"/>
      <c r="DE96" s="645"/>
      <c r="DF96" s="645"/>
      <c r="DG96" s="645"/>
      <c r="DH96" s="645"/>
      <c r="DI96" s="645"/>
      <c r="DJ96" s="645"/>
      <c r="DK96" s="645"/>
      <c r="DL96" s="645"/>
      <c r="DM96" s="645"/>
      <c r="DN96" s="645"/>
      <c r="DO96" s="645"/>
      <c r="DP96" s="645"/>
      <c r="DQ96" s="645"/>
      <c r="DR96" s="645"/>
      <c r="DS96" s="645"/>
      <c r="DT96" s="645"/>
      <c r="DU96" s="645"/>
      <c r="DV96" s="645"/>
    </row>
    <row r="97" spans="1:127" ht="14.25" customHeight="1" hidden="1">
      <c r="A97" s="56"/>
      <c r="B97" s="746"/>
      <c r="C97" s="84"/>
      <c r="D97" s="142"/>
      <c r="E97" s="143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41"/>
    </row>
    <row r="98" spans="1:127" ht="14.25" customHeight="1" hidden="1">
      <c r="A98" s="56"/>
      <c r="B98" s="746"/>
      <c r="C98" s="84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41"/>
    </row>
    <row r="99" spans="1:127" ht="14.25" customHeight="1" hidden="1">
      <c r="A99" s="56"/>
      <c r="B99" s="746"/>
      <c r="C99" s="84"/>
      <c r="D99" s="144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41"/>
    </row>
    <row r="100" spans="1:127" ht="14.25" customHeight="1" hidden="1">
      <c r="A100" s="56"/>
      <c r="B100" s="746"/>
      <c r="C100" s="84"/>
      <c r="D100" s="144"/>
      <c r="E100" s="145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41"/>
    </row>
    <row r="101" spans="1:127" ht="14.25" customHeight="1" hidden="1" thickBot="1">
      <c r="A101" s="56"/>
      <c r="B101" s="746"/>
      <c r="C101" s="84"/>
      <c r="D101" s="146"/>
      <c r="E101" s="147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1"/>
    </row>
    <row r="102" spans="1:127" ht="13.5" hidden="1" thickBot="1">
      <c r="A102" s="56"/>
      <c r="B102" s="746"/>
      <c r="C102" s="84"/>
      <c r="D102" s="56"/>
      <c r="E102" s="56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1"/>
    </row>
    <row r="103" spans="1:127" s="77" customFormat="1" ht="19.5" customHeight="1" hidden="1" thickBot="1">
      <c r="A103" s="56"/>
      <c r="B103" s="746"/>
      <c r="C103" s="79"/>
      <c r="D103" s="80"/>
      <c r="E103" s="81"/>
      <c r="F103" s="645"/>
      <c r="G103" s="645"/>
      <c r="H103" s="645"/>
      <c r="I103" s="645"/>
      <c r="J103" s="645"/>
      <c r="K103" s="645"/>
      <c r="L103" s="645"/>
      <c r="M103" s="645"/>
      <c r="N103" s="645"/>
      <c r="O103" s="645"/>
      <c r="P103" s="645"/>
      <c r="Q103" s="645"/>
      <c r="R103" s="645"/>
      <c r="S103" s="645"/>
      <c r="T103" s="645"/>
      <c r="U103" s="645"/>
      <c r="V103" s="645"/>
      <c r="W103" s="645"/>
      <c r="X103" s="645"/>
      <c r="Y103" s="645"/>
      <c r="Z103" s="645"/>
      <c r="AA103" s="645"/>
      <c r="AB103" s="645"/>
      <c r="AC103" s="645"/>
      <c r="AD103" s="645"/>
      <c r="AE103" s="645"/>
      <c r="AF103" s="645"/>
      <c r="AG103" s="645"/>
      <c r="AH103" s="645"/>
      <c r="AI103" s="645"/>
      <c r="AJ103" s="645"/>
      <c r="AK103" s="645"/>
      <c r="AL103" s="645"/>
      <c r="AM103" s="645"/>
      <c r="AN103" s="645"/>
      <c r="AO103" s="645"/>
      <c r="AP103" s="645"/>
      <c r="AQ103" s="645"/>
      <c r="AR103" s="645"/>
      <c r="AS103" s="645"/>
      <c r="AT103" s="645"/>
      <c r="AU103" s="645"/>
      <c r="AV103" s="645"/>
      <c r="AW103" s="645"/>
      <c r="AX103" s="645"/>
      <c r="AY103" s="645"/>
      <c r="AZ103" s="645"/>
      <c r="BA103" s="645"/>
      <c r="BB103" s="645"/>
      <c r="BC103" s="645"/>
      <c r="BD103" s="645"/>
      <c r="BE103" s="645"/>
      <c r="BF103" s="645"/>
      <c r="BG103" s="645"/>
      <c r="BH103" s="645"/>
      <c r="BI103" s="645"/>
      <c r="BJ103" s="645"/>
      <c r="BK103" s="645"/>
      <c r="BL103" s="645"/>
      <c r="BM103" s="645"/>
      <c r="BN103" s="645"/>
      <c r="BO103" s="645"/>
      <c r="BP103" s="645"/>
      <c r="BQ103" s="645"/>
      <c r="BR103" s="645"/>
      <c r="BS103" s="645"/>
      <c r="BT103" s="645"/>
      <c r="BU103" s="645"/>
      <c r="BV103" s="645"/>
      <c r="BW103" s="645"/>
      <c r="BX103" s="645"/>
      <c r="BY103" s="645"/>
      <c r="BZ103" s="645"/>
      <c r="CA103" s="645"/>
      <c r="CB103" s="645"/>
      <c r="CC103" s="645"/>
      <c r="CD103" s="645"/>
      <c r="CE103" s="645"/>
      <c r="CF103" s="645"/>
      <c r="CG103" s="645"/>
      <c r="CH103" s="645"/>
      <c r="CI103" s="645"/>
      <c r="CJ103" s="645"/>
      <c r="CK103" s="645"/>
      <c r="CL103" s="645"/>
      <c r="CM103" s="645"/>
      <c r="CN103" s="645"/>
      <c r="CO103" s="645"/>
      <c r="CP103" s="645"/>
      <c r="CQ103" s="645"/>
      <c r="CR103" s="645"/>
      <c r="CS103" s="645"/>
      <c r="CT103" s="645"/>
      <c r="CU103" s="645"/>
      <c r="CV103" s="645"/>
      <c r="CW103" s="645"/>
      <c r="CX103" s="645"/>
      <c r="CY103" s="645"/>
      <c r="CZ103" s="645"/>
      <c r="DA103" s="645"/>
      <c r="DB103" s="645"/>
      <c r="DC103" s="645"/>
      <c r="DD103" s="645"/>
      <c r="DE103" s="645"/>
      <c r="DF103" s="645"/>
      <c r="DG103" s="645"/>
      <c r="DH103" s="645"/>
      <c r="DI103" s="645"/>
      <c r="DJ103" s="645"/>
      <c r="DK103" s="645"/>
      <c r="DL103" s="645"/>
      <c r="DM103" s="645"/>
      <c r="DN103" s="645"/>
      <c r="DO103" s="645"/>
      <c r="DP103" s="645"/>
      <c r="DQ103" s="645"/>
      <c r="DR103" s="645"/>
      <c r="DS103" s="645"/>
      <c r="DT103" s="645"/>
      <c r="DU103" s="645"/>
      <c r="DV103" s="645"/>
      <c r="DW103" s="645"/>
    </row>
    <row r="104" spans="1:127" ht="12.75" hidden="1">
      <c r="A104" s="56"/>
      <c r="B104" s="746"/>
      <c r="C104" s="150"/>
      <c r="D104" s="151"/>
      <c r="E104" s="143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3"/>
    </row>
    <row r="105" spans="1:127" ht="12.75" hidden="1">
      <c r="A105" s="56"/>
      <c r="B105" s="746"/>
      <c r="C105" s="84"/>
      <c r="D105" s="154"/>
      <c r="E105" s="14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7"/>
    </row>
    <row r="106" spans="1:127" ht="13.5" hidden="1" thickBot="1">
      <c r="A106" s="56"/>
      <c r="B106" s="746"/>
      <c r="C106" s="84"/>
      <c r="D106" s="158"/>
      <c r="E106" s="159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1"/>
    </row>
    <row r="107" spans="1:127" ht="15.75" customHeight="1" hidden="1">
      <c r="A107" s="56"/>
      <c r="B107" s="746"/>
      <c r="C107" s="84"/>
      <c r="D107" s="162"/>
      <c r="E107" s="163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5"/>
    </row>
    <row r="108" spans="1:127" ht="15.75" customHeight="1" hidden="1">
      <c r="A108" s="56"/>
      <c r="B108" s="746"/>
      <c r="C108" s="84"/>
      <c r="D108" s="144"/>
      <c r="E108" s="145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57"/>
    </row>
    <row r="109" spans="1:127" ht="15.75" customHeight="1" hidden="1">
      <c r="A109" s="56"/>
      <c r="B109" s="746"/>
      <c r="C109" s="84"/>
      <c r="D109" s="144"/>
      <c r="E109" s="145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57"/>
    </row>
    <row r="110" spans="1:127" ht="15.75" customHeight="1" hidden="1">
      <c r="A110" s="56"/>
      <c r="B110" s="746"/>
      <c r="C110" s="84"/>
      <c r="D110" s="144"/>
      <c r="E110" s="145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57"/>
    </row>
    <row r="111" spans="1:127" ht="12.75" hidden="1">
      <c r="A111" s="56"/>
      <c r="B111" s="746"/>
      <c r="C111" s="84"/>
      <c r="D111" s="154"/>
      <c r="E111" s="145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57"/>
    </row>
    <row r="112" spans="1:127" ht="13.5" hidden="1" thickBot="1">
      <c r="A112" s="56"/>
      <c r="B112" s="746"/>
      <c r="C112" s="84"/>
      <c r="D112" s="166"/>
      <c r="E112" s="159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57"/>
    </row>
    <row r="113" spans="1:127" ht="19.5" customHeight="1" hidden="1" thickBot="1">
      <c r="A113" s="56"/>
      <c r="B113" s="746"/>
      <c r="C113" s="84"/>
      <c r="D113" s="167"/>
      <c r="E113" s="168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70"/>
    </row>
    <row r="114" spans="1:127" ht="13.5" hidden="1" thickBot="1">
      <c r="A114" s="56"/>
      <c r="B114" s="746"/>
      <c r="C114" s="84"/>
      <c r="D114" s="167"/>
      <c r="E114" s="168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0"/>
    </row>
    <row r="115" spans="1:127" ht="21" customHeight="1" hidden="1">
      <c r="A115" s="56"/>
      <c r="B115" s="746"/>
      <c r="C115" s="84"/>
      <c r="D115" s="172"/>
      <c r="E115" s="16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  <c r="CW115" s="173"/>
      <c r="CX115" s="173"/>
      <c r="CY115" s="173"/>
      <c r="CZ115" s="173"/>
      <c r="DA115" s="173"/>
      <c r="DB115" s="173"/>
      <c r="DC115" s="173"/>
      <c r="DD115" s="173"/>
      <c r="DE115" s="173"/>
      <c r="DF115" s="173"/>
      <c r="DG115" s="173"/>
      <c r="DH115" s="173"/>
      <c r="DI115" s="173"/>
      <c r="DJ115" s="173"/>
      <c r="DK115" s="173"/>
      <c r="DL115" s="173"/>
      <c r="DM115" s="173"/>
      <c r="DN115" s="173"/>
      <c r="DO115" s="173"/>
      <c r="DP115" s="173"/>
      <c r="DQ115" s="173"/>
      <c r="DR115" s="173"/>
      <c r="DS115" s="173"/>
      <c r="DT115" s="173"/>
      <c r="DU115" s="173"/>
      <c r="DV115" s="173"/>
      <c r="DW115" s="153"/>
    </row>
    <row r="116" spans="1:127" ht="12.75" hidden="1">
      <c r="A116" s="56"/>
      <c r="B116" s="746"/>
      <c r="C116" s="84"/>
      <c r="D116" s="154"/>
      <c r="E116" s="14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7"/>
    </row>
    <row r="117" spans="1:127" ht="12.75" hidden="1">
      <c r="A117" s="56"/>
      <c r="B117" s="746"/>
      <c r="C117" s="84"/>
      <c r="D117" s="154"/>
      <c r="E117" s="14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7"/>
    </row>
    <row r="118" spans="1:127" ht="12.75" hidden="1">
      <c r="A118" s="56"/>
      <c r="B118" s="746"/>
      <c r="C118" s="84"/>
      <c r="D118" s="154"/>
      <c r="E118" s="14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7"/>
    </row>
    <row r="119" spans="1:127" ht="13.5" hidden="1" thickBot="1">
      <c r="A119" s="56"/>
      <c r="B119" s="746"/>
      <c r="C119" s="84"/>
      <c r="D119" s="158"/>
      <c r="E119" s="159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74"/>
    </row>
    <row r="120" spans="1:127" ht="19.5" customHeight="1" hidden="1" thickBot="1">
      <c r="A120" s="56"/>
      <c r="B120" s="746"/>
      <c r="C120" s="84"/>
      <c r="D120" s="167"/>
      <c r="E120" s="168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6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7"/>
      <c r="CB120" s="177"/>
      <c r="CC120" s="177"/>
      <c r="CD120" s="177"/>
      <c r="CE120" s="177"/>
      <c r="CF120" s="177"/>
      <c r="CG120" s="177"/>
      <c r="CH120" s="177"/>
      <c r="CI120" s="177"/>
      <c r="CJ120" s="177"/>
      <c r="CK120" s="177"/>
      <c r="CL120" s="177"/>
      <c r="CM120" s="177"/>
      <c r="CN120" s="177"/>
      <c r="CO120" s="177"/>
      <c r="CP120" s="177"/>
      <c r="CQ120" s="177"/>
      <c r="CR120" s="177"/>
      <c r="CS120" s="177"/>
      <c r="CT120" s="177"/>
      <c r="CU120" s="177"/>
      <c r="CV120" s="177"/>
      <c r="CW120" s="177"/>
      <c r="CX120" s="177"/>
      <c r="CY120" s="177"/>
      <c r="CZ120" s="177"/>
      <c r="DA120" s="177"/>
      <c r="DB120" s="177"/>
      <c r="DC120" s="177"/>
      <c r="DD120" s="177"/>
      <c r="DE120" s="177"/>
      <c r="DF120" s="177"/>
      <c r="DG120" s="177"/>
      <c r="DH120" s="177"/>
      <c r="DI120" s="177"/>
      <c r="DJ120" s="177"/>
      <c r="DK120" s="177"/>
      <c r="DL120" s="177"/>
      <c r="DM120" s="177"/>
      <c r="DN120" s="177"/>
      <c r="DO120" s="177"/>
      <c r="DP120" s="177"/>
      <c r="DQ120" s="177"/>
      <c r="DR120" s="177"/>
      <c r="DS120" s="177"/>
      <c r="DT120" s="177"/>
      <c r="DU120" s="177"/>
      <c r="DV120" s="177"/>
      <c r="DW120" s="170"/>
    </row>
    <row r="121" spans="1:4" ht="28.5" customHeight="1" hidden="1" thickBot="1">
      <c r="A121" s="56"/>
      <c r="B121" s="746"/>
      <c r="D121" s="178"/>
    </row>
    <row r="122" spans="1:6" ht="21.75" customHeight="1" hidden="1">
      <c r="A122" s="56"/>
      <c r="B122" s="746"/>
      <c r="D122" s="179"/>
      <c r="E122" s="180"/>
      <c r="F122" s="181"/>
    </row>
    <row r="123" spans="1:6" ht="21.75" customHeight="1" hidden="1">
      <c r="A123" s="56"/>
      <c r="B123" s="746"/>
      <c r="D123" s="182"/>
      <c r="E123" s="183"/>
      <c r="F123" s="184"/>
    </row>
    <row r="124" spans="1:6" ht="21.75" customHeight="1" hidden="1" thickBot="1">
      <c r="A124" s="56"/>
      <c r="B124" s="746"/>
      <c r="D124" s="185"/>
      <c r="E124" s="186"/>
      <c r="F124" s="187"/>
    </row>
    <row r="125" spans="1:2" ht="12.75" hidden="1">
      <c r="A125" s="56"/>
      <c r="B125" s="78"/>
    </row>
    <row r="126" spans="1:4" ht="12.75" hidden="1">
      <c r="A126" s="56"/>
      <c r="B126" s="78"/>
      <c r="D126" s="188"/>
    </row>
    <row r="127" spans="1:126" ht="12.75" hidden="1">
      <c r="A127" s="56"/>
      <c r="B127" s="78"/>
      <c r="D127" s="189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0"/>
      <c r="CI127" s="190"/>
      <c r="CJ127" s="190"/>
      <c r="CK127" s="190"/>
      <c r="CL127" s="190"/>
      <c r="CM127" s="190"/>
      <c r="CN127" s="190"/>
      <c r="CO127" s="190"/>
      <c r="CP127" s="190"/>
      <c r="CQ127" s="190"/>
      <c r="CR127" s="190"/>
      <c r="CS127" s="190"/>
      <c r="CT127" s="190"/>
      <c r="CU127" s="190"/>
      <c r="CV127" s="190"/>
      <c r="CW127" s="190"/>
      <c r="CX127" s="190"/>
      <c r="CY127" s="190"/>
      <c r="CZ127" s="190"/>
      <c r="DA127" s="190"/>
      <c r="DB127" s="190"/>
      <c r="DC127" s="190"/>
      <c r="DD127" s="190"/>
      <c r="DE127" s="190"/>
      <c r="DF127" s="190"/>
      <c r="DG127" s="190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190"/>
      <c r="DR127" s="190"/>
      <c r="DS127" s="190"/>
      <c r="DT127" s="190"/>
      <c r="DU127" s="190"/>
      <c r="DV127" s="190"/>
    </row>
    <row r="128" spans="1:126" ht="31.5" customHeight="1" hidden="1">
      <c r="A128" s="56"/>
      <c r="B128" s="78"/>
      <c r="C128" s="191"/>
      <c r="D128" s="19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</row>
    <row r="129" spans="1:126" ht="12.75" hidden="1">
      <c r="A129" s="56"/>
      <c r="B129" s="78"/>
      <c r="C129" s="191"/>
      <c r="D129" s="192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</row>
    <row r="130" spans="1:126" ht="12.75" hidden="1">
      <c r="A130" s="56"/>
      <c r="B130" s="78"/>
      <c r="C130" s="193"/>
      <c r="D130" s="192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  <c r="DB130" s="190"/>
      <c r="DC130" s="190"/>
      <c r="DD130" s="190"/>
      <c r="DE130" s="190"/>
      <c r="DF130" s="190"/>
      <c r="DG130" s="190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</row>
    <row r="131" spans="1:126" ht="12.75" hidden="1">
      <c r="A131" s="56"/>
      <c r="B131" s="78"/>
      <c r="C131" s="191"/>
      <c r="D131" s="192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</row>
    <row r="132" spans="1:126" ht="12.75" hidden="1">
      <c r="A132" s="56"/>
      <c r="B132" s="78"/>
      <c r="C132" s="193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</row>
    <row r="133" spans="1:126" ht="12.75" hidden="1">
      <c r="A133" s="56"/>
      <c r="B133" s="78"/>
      <c r="C133" s="193"/>
      <c r="D133" s="192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</row>
    <row r="134" spans="1:126" ht="12.75" hidden="1">
      <c r="A134" s="56"/>
      <c r="B134" s="78"/>
      <c r="C134" s="191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</row>
    <row r="135" spans="1:126" ht="12.75" hidden="1">
      <c r="A135" s="56"/>
      <c r="B135" s="78"/>
      <c r="C135" s="193"/>
      <c r="D135" s="192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0"/>
      <c r="DB135" s="190"/>
      <c r="DC135" s="190"/>
      <c r="DD135" s="190"/>
      <c r="DE135" s="190"/>
      <c r="DF135" s="190"/>
      <c r="DG135" s="190"/>
      <c r="DH135" s="190"/>
      <c r="DI135" s="190"/>
      <c r="DJ135" s="190"/>
      <c r="DK135" s="190"/>
      <c r="DL135" s="190"/>
      <c r="DM135" s="190"/>
      <c r="DN135" s="190"/>
      <c r="DO135" s="190"/>
      <c r="DP135" s="190"/>
      <c r="DQ135" s="190"/>
      <c r="DR135" s="190"/>
      <c r="DS135" s="190"/>
      <c r="DT135" s="190"/>
      <c r="DU135" s="190"/>
      <c r="DV135" s="190"/>
    </row>
    <row r="136" spans="1:126" ht="12.75" hidden="1">
      <c r="A136" s="56"/>
      <c r="B136" s="78"/>
      <c r="C136" s="191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</row>
    <row r="137" spans="1:126" ht="12.75" hidden="1">
      <c r="A137" s="56"/>
      <c r="B137" s="78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190"/>
      <c r="CY137" s="190"/>
      <c r="CZ137" s="190"/>
      <c r="DA137" s="190"/>
      <c r="DB137" s="190"/>
      <c r="DC137" s="190"/>
      <c r="DD137" s="190"/>
      <c r="DE137" s="190"/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190"/>
      <c r="DS137" s="190"/>
      <c r="DT137" s="190"/>
      <c r="DU137" s="190"/>
      <c r="DV137" s="190"/>
    </row>
    <row r="138" spans="1:126" ht="12.75" hidden="1">
      <c r="A138" s="56"/>
      <c r="B138" s="78"/>
      <c r="C138" s="191"/>
      <c r="F138" s="566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</row>
    <row r="139" spans="1:126" ht="12.75" hidden="1">
      <c r="A139" s="56"/>
      <c r="B139" s="78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190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190"/>
      <c r="DS139" s="190"/>
      <c r="DT139" s="190"/>
      <c r="DU139" s="190"/>
      <c r="DV139" s="190"/>
    </row>
    <row r="140" spans="1:126" ht="12.75" hidden="1">
      <c r="A140" s="56"/>
      <c r="B140" s="78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</row>
    <row r="141" spans="1:126" ht="12.75" hidden="1">
      <c r="A141" s="56"/>
      <c r="B141" s="78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190"/>
      <c r="DS141" s="190"/>
      <c r="DT141" s="190"/>
      <c r="DU141" s="190"/>
      <c r="DV141" s="190"/>
    </row>
    <row r="142" spans="1:126" ht="12.75" hidden="1">
      <c r="A142" s="56"/>
      <c r="B142" s="78"/>
      <c r="D142" s="194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</row>
    <row r="143" spans="1:126" ht="12.75" hidden="1">
      <c r="A143" s="56"/>
      <c r="B143" s="78"/>
      <c r="D143" s="194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</row>
    <row r="144" spans="1:126" ht="12.75" hidden="1">
      <c r="A144" s="56"/>
      <c r="B144" s="78"/>
      <c r="D144" s="194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</row>
    <row r="145" spans="1:126" ht="12.75" hidden="1">
      <c r="A145" s="56"/>
      <c r="B145" s="78"/>
      <c r="D145" s="194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/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95"/>
      <c r="DV145" s="195"/>
    </row>
    <row r="146" spans="1:126" ht="12.75" hidden="1">
      <c r="A146" s="56"/>
      <c r="B146" s="78"/>
      <c r="D146" s="194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</row>
    <row r="147" spans="1:126" ht="12.75" hidden="1">
      <c r="A147" s="56"/>
      <c r="B147" s="78"/>
      <c r="D147" s="194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6"/>
      <c r="CL147" s="196"/>
      <c r="CM147" s="196"/>
      <c r="CN147" s="196"/>
      <c r="CO147" s="196"/>
      <c r="CP147" s="196"/>
      <c r="CQ147" s="196"/>
      <c r="CR147" s="196"/>
      <c r="CS147" s="196"/>
      <c r="CT147" s="196"/>
      <c r="CU147" s="196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196"/>
      <c r="DT147" s="196"/>
      <c r="DU147" s="196"/>
      <c r="DV147" s="196"/>
    </row>
    <row r="148" spans="1:126" ht="12.75" hidden="1">
      <c r="A148" s="56"/>
      <c r="B148" s="78"/>
      <c r="D148" s="194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</row>
    <row r="149" spans="1:126" ht="12.75" hidden="1">
      <c r="A149" s="56"/>
      <c r="B149" s="78"/>
      <c r="D149" s="194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</row>
    <row r="150" spans="1:126" ht="12.75" hidden="1">
      <c r="A150" s="56"/>
      <c r="B150" s="78"/>
      <c r="D150" s="194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</row>
    <row r="151" spans="1:126" ht="12.75" hidden="1">
      <c r="A151" s="56"/>
      <c r="B151" s="78"/>
      <c r="D151" s="194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8"/>
      <c r="CS151" s="198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</row>
    <row r="152" spans="1:126" ht="12.75" hidden="1">
      <c r="A152" s="56"/>
      <c r="B152" s="78"/>
      <c r="D152" s="194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  <c r="CD152" s="199"/>
      <c r="CE152" s="199"/>
      <c r="CF152" s="199"/>
      <c r="CG152" s="199"/>
      <c r="CH152" s="199"/>
      <c r="CI152" s="199"/>
      <c r="CJ152" s="199"/>
      <c r="CK152" s="199"/>
      <c r="CL152" s="199"/>
      <c r="CM152" s="199"/>
      <c r="CN152" s="199"/>
      <c r="CO152" s="199"/>
      <c r="CP152" s="199"/>
      <c r="CQ152" s="199"/>
      <c r="CR152" s="199"/>
      <c r="CS152" s="199"/>
      <c r="CT152" s="199"/>
      <c r="CU152" s="199"/>
      <c r="CV152" s="199"/>
      <c r="CW152" s="199"/>
      <c r="CX152" s="199"/>
      <c r="CY152" s="199"/>
      <c r="CZ152" s="199"/>
      <c r="DA152" s="199"/>
      <c r="DB152" s="199"/>
      <c r="DC152" s="199"/>
      <c r="DD152" s="199"/>
      <c r="DE152" s="199"/>
      <c r="DF152" s="199"/>
      <c r="DG152" s="199"/>
      <c r="DH152" s="199"/>
      <c r="DI152" s="199"/>
      <c r="DJ152" s="199"/>
      <c r="DK152" s="199"/>
      <c r="DL152" s="199"/>
      <c r="DM152" s="199"/>
      <c r="DN152" s="199"/>
      <c r="DO152" s="199"/>
      <c r="DP152" s="199"/>
      <c r="DQ152" s="199"/>
      <c r="DR152" s="199"/>
      <c r="DS152" s="199"/>
      <c r="DT152" s="199"/>
      <c r="DU152" s="199"/>
      <c r="DV152" s="199"/>
    </row>
    <row r="153" spans="1:126" ht="12.75" hidden="1">
      <c r="A153" s="56"/>
      <c r="B153" s="78"/>
      <c r="D153" s="194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196"/>
      <c r="DT153" s="196"/>
      <c r="DU153" s="196"/>
      <c r="DV153" s="196"/>
    </row>
    <row r="154" spans="1:126" ht="12.75" hidden="1">
      <c r="A154" s="56"/>
      <c r="B154" s="78"/>
      <c r="D154" s="194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</row>
    <row r="155" spans="1:126" ht="12.75" hidden="1">
      <c r="A155" s="56"/>
      <c r="B155" s="78"/>
      <c r="D155" s="194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</row>
    <row r="156" spans="1:126" ht="12.75" hidden="1">
      <c r="A156" s="56"/>
      <c r="B156" s="78"/>
      <c r="D156" s="194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</row>
    <row r="157" spans="1:126" ht="12.75" hidden="1">
      <c r="A157" s="56"/>
      <c r="B157" s="78"/>
      <c r="D157" s="194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</row>
    <row r="158" spans="1:126" ht="12.75" hidden="1">
      <c r="A158" s="56"/>
      <c r="B158" s="78"/>
      <c r="D158" s="194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  <c r="DT158" s="190"/>
      <c r="DU158" s="190"/>
      <c r="DV158" s="190"/>
    </row>
    <row r="159" spans="1:126" ht="12.75" hidden="1">
      <c r="A159" s="56"/>
      <c r="B159" s="78"/>
      <c r="D159" s="194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190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  <c r="CQ159" s="190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</row>
    <row r="160" spans="1:126" ht="12.75" hidden="1">
      <c r="A160" s="56"/>
      <c r="B160" s="78"/>
      <c r="D160" s="194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190"/>
      <c r="CB160" s="190"/>
      <c r="CC160" s="190"/>
      <c r="CD160" s="190"/>
      <c r="CE160" s="190"/>
      <c r="CF160" s="190"/>
      <c r="CG160" s="190"/>
      <c r="CH160" s="190"/>
      <c r="CI160" s="190"/>
      <c r="CJ160" s="190"/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90"/>
      <c r="DD160" s="190"/>
      <c r="DE160" s="190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</row>
    <row r="161" spans="1:126" ht="12.75" hidden="1">
      <c r="A161" s="56"/>
      <c r="B161" s="78"/>
      <c r="D161" s="194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</row>
    <row r="162" spans="1:126" ht="12.75" hidden="1">
      <c r="A162" s="56"/>
      <c r="B162" s="78"/>
      <c r="D162" s="194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0"/>
      <c r="CO162" s="190"/>
      <c r="CP162" s="190"/>
      <c r="CQ162" s="190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0"/>
      <c r="DG162" s="190"/>
      <c r="DH162" s="190"/>
      <c r="DI162" s="190"/>
      <c r="DJ162" s="190"/>
      <c r="DK162" s="190"/>
      <c r="DL162" s="190"/>
      <c r="DM162" s="190"/>
      <c r="DN162" s="190"/>
      <c r="DO162" s="190"/>
      <c r="DP162" s="190"/>
      <c r="DQ162" s="190"/>
      <c r="DR162" s="190"/>
      <c r="DS162" s="190"/>
      <c r="DT162" s="190"/>
      <c r="DU162" s="190"/>
      <c r="DV162" s="190"/>
    </row>
    <row r="163" spans="1:126" ht="12.75" hidden="1">
      <c r="A163" s="56"/>
      <c r="B163" s="78"/>
      <c r="D163" s="194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</row>
    <row r="164" spans="1:126" ht="12.75" hidden="1">
      <c r="A164" s="56"/>
      <c r="B164" s="78"/>
      <c r="D164" s="194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0"/>
      <c r="DR164" s="190"/>
      <c r="DS164" s="190"/>
      <c r="DT164" s="190"/>
      <c r="DU164" s="190"/>
      <c r="DV164" s="190"/>
    </row>
    <row r="165" spans="1:126" ht="12.75" hidden="1">
      <c r="A165" s="56"/>
      <c r="B165" s="78"/>
      <c r="D165" s="194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</row>
    <row r="166" spans="1:126" ht="12.75" hidden="1">
      <c r="A166" s="56"/>
      <c r="B166" s="78"/>
      <c r="D166" s="194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90"/>
      <c r="DA166" s="190"/>
      <c r="DB166" s="190"/>
      <c r="DC166" s="190"/>
      <c r="DD166" s="190"/>
      <c r="DE166" s="190"/>
      <c r="DF166" s="190"/>
      <c r="DG166" s="190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190"/>
      <c r="DR166" s="190"/>
      <c r="DS166" s="190"/>
      <c r="DT166" s="190"/>
      <c r="DU166" s="190"/>
      <c r="DV166" s="190"/>
    </row>
    <row r="167" spans="1:126" ht="12.75" hidden="1">
      <c r="A167" s="56"/>
      <c r="B167" s="78"/>
      <c r="D167" s="563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</row>
    <row r="168" spans="1:126" ht="12.75" hidden="1">
      <c r="A168" s="56"/>
      <c r="B168" s="78"/>
      <c r="D168" s="194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190"/>
      <c r="CB168" s="190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0"/>
      <c r="CY168" s="190"/>
      <c r="CZ168" s="190"/>
      <c r="DA168" s="190"/>
      <c r="DB168" s="190"/>
      <c r="DC168" s="190"/>
      <c r="DD168" s="190"/>
      <c r="DE168" s="190"/>
      <c r="DF168" s="190"/>
      <c r="DG168" s="190"/>
      <c r="DH168" s="190"/>
      <c r="DI168" s="190"/>
      <c r="DJ168" s="190"/>
      <c r="DK168" s="190"/>
      <c r="DL168" s="190"/>
      <c r="DM168" s="190"/>
      <c r="DN168" s="190"/>
      <c r="DO168" s="190"/>
      <c r="DP168" s="190"/>
      <c r="DQ168" s="190"/>
      <c r="DR168" s="190"/>
      <c r="DS168" s="190"/>
      <c r="DT168" s="190"/>
      <c r="DU168" s="190"/>
      <c r="DV168" s="190"/>
    </row>
    <row r="169" spans="1:126" ht="12.75" hidden="1">
      <c r="A169" s="56"/>
      <c r="B169" s="197"/>
      <c r="D169" s="194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</row>
    <row r="170" spans="1:126" ht="12.75" hidden="1">
      <c r="A170" s="56"/>
      <c r="B170" s="197"/>
      <c r="D170" s="194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</row>
    <row r="171" spans="1:126" ht="12.75" hidden="1">
      <c r="A171" s="56"/>
      <c r="B171" s="197"/>
      <c r="D171" s="194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/>
    </row>
    <row r="172" spans="1:126" ht="12.75" hidden="1">
      <c r="A172" s="56"/>
      <c r="B172" s="197"/>
      <c r="D172" s="194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</row>
    <row r="173" spans="1:126" ht="12.75" hidden="1">
      <c r="A173" s="56"/>
      <c r="B173" s="746"/>
      <c r="D173" s="194"/>
      <c r="F173" s="690"/>
      <c r="G173" s="690"/>
      <c r="H173" s="690"/>
      <c r="I173" s="690"/>
      <c r="J173" s="690"/>
      <c r="K173" s="690"/>
      <c r="L173" s="690"/>
      <c r="M173" s="690"/>
      <c r="N173" s="690"/>
      <c r="O173" s="690"/>
      <c r="P173" s="690"/>
      <c r="Q173" s="690"/>
      <c r="R173" s="690"/>
      <c r="S173" s="690"/>
      <c r="T173" s="690"/>
      <c r="U173" s="690"/>
      <c r="V173" s="690"/>
      <c r="W173" s="690"/>
      <c r="X173" s="690"/>
      <c r="Y173" s="690"/>
      <c r="Z173" s="690"/>
      <c r="AA173" s="690"/>
      <c r="AB173" s="690"/>
      <c r="AC173" s="690"/>
      <c r="AD173" s="690"/>
      <c r="AE173" s="690"/>
      <c r="AF173" s="690"/>
      <c r="AG173" s="690"/>
      <c r="AH173" s="690"/>
      <c r="AI173" s="690"/>
      <c r="AJ173" s="690"/>
      <c r="AK173" s="690"/>
      <c r="AL173" s="690"/>
      <c r="AM173" s="690"/>
      <c r="AN173" s="690"/>
      <c r="AO173" s="690"/>
      <c r="AP173" s="690"/>
      <c r="AQ173" s="690"/>
      <c r="AR173" s="690"/>
      <c r="AS173" s="690"/>
      <c r="AT173" s="690"/>
      <c r="AU173" s="690"/>
      <c r="AV173" s="690"/>
      <c r="AW173" s="690"/>
      <c r="AX173" s="690"/>
      <c r="AY173" s="690"/>
      <c r="AZ173" s="690"/>
      <c r="BA173" s="690"/>
      <c r="BB173" s="690"/>
      <c r="BC173" s="690"/>
      <c r="BD173" s="690"/>
      <c r="BE173" s="690"/>
      <c r="BF173" s="690"/>
      <c r="BG173" s="690"/>
      <c r="BH173" s="690"/>
      <c r="BI173" s="690"/>
      <c r="BJ173" s="690"/>
      <c r="BK173" s="690"/>
      <c r="BL173" s="690"/>
      <c r="BM173" s="690"/>
      <c r="BN173" s="690"/>
      <c r="BO173" s="690"/>
      <c r="BP173" s="690"/>
      <c r="BQ173" s="690"/>
      <c r="BR173" s="690"/>
      <c r="BS173" s="690"/>
      <c r="BT173" s="690"/>
      <c r="BU173" s="690"/>
      <c r="BV173" s="690"/>
      <c r="BW173" s="690"/>
      <c r="BX173" s="690"/>
      <c r="BY173" s="690"/>
      <c r="BZ173" s="690"/>
      <c r="CA173" s="690"/>
      <c r="CB173" s="690"/>
      <c r="CC173" s="690"/>
      <c r="CD173" s="690"/>
      <c r="CE173" s="690"/>
      <c r="CF173" s="690"/>
      <c r="CG173" s="690"/>
      <c r="CH173" s="690"/>
      <c r="CI173" s="690"/>
      <c r="CJ173" s="690"/>
      <c r="CK173" s="690"/>
      <c r="CL173" s="690"/>
      <c r="CM173" s="690"/>
      <c r="CN173" s="690"/>
      <c r="CO173" s="690"/>
      <c r="CP173" s="690"/>
      <c r="CQ173" s="690"/>
      <c r="CR173" s="690"/>
      <c r="CS173" s="690"/>
      <c r="CT173" s="690"/>
      <c r="CU173" s="690"/>
      <c r="CV173" s="690"/>
      <c r="CW173" s="690"/>
      <c r="CX173" s="690"/>
      <c r="CY173" s="690"/>
      <c r="CZ173" s="690"/>
      <c r="DA173" s="690"/>
      <c r="DB173" s="690"/>
      <c r="DC173" s="690"/>
      <c r="DD173" s="690"/>
      <c r="DE173" s="690"/>
      <c r="DF173" s="690"/>
      <c r="DG173" s="690"/>
      <c r="DH173" s="690"/>
      <c r="DI173" s="690"/>
      <c r="DJ173" s="690"/>
      <c r="DK173" s="690"/>
      <c r="DL173" s="690"/>
      <c r="DM173" s="690"/>
      <c r="DN173" s="690"/>
      <c r="DO173" s="690"/>
      <c r="DP173" s="690"/>
      <c r="DQ173" s="690"/>
      <c r="DR173" s="690"/>
      <c r="DS173" s="690"/>
      <c r="DT173" s="690"/>
      <c r="DU173" s="690"/>
      <c r="DV173" s="690"/>
    </row>
    <row r="174" spans="1:126" s="681" customFormat="1" ht="12.75" hidden="1">
      <c r="A174" s="56"/>
      <c r="B174" s="746"/>
      <c r="C174" s="680"/>
      <c r="D174" s="682"/>
      <c r="F174" s="688"/>
      <c r="G174" s="688"/>
      <c r="H174" s="688"/>
      <c r="I174" s="688"/>
      <c r="J174" s="688"/>
      <c r="K174" s="688"/>
      <c r="L174" s="688"/>
      <c r="M174" s="688"/>
      <c r="N174" s="688"/>
      <c r="O174" s="688"/>
      <c r="P174" s="688"/>
      <c r="Q174" s="688"/>
      <c r="R174" s="688"/>
      <c r="S174" s="688"/>
      <c r="T174" s="688"/>
      <c r="U174" s="688"/>
      <c r="V174" s="688"/>
      <c r="W174" s="688"/>
      <c r="X174" s="688"/>
      <c r="Y174" s="688"/>
      <c r="Z174" s="688"/>
      <c r="AA174" s="688"/>
      <c r="AB174" s="688"/>
      <c r="AC174" s="688"/>
      <c r="AD174" s="688"/>
      <c r="AE174" s="688"/>
      <c r="AF174" s="688"/>
      <c r="AG174" s="688"/>
      <c r="AH174" s="688"/>
      <c r="AI174" s="688"/>
      <c r="AJ174" s="688"/>
      <c r="AK174" s="688"/>
      <c r="AL174" s="688"/>
      <c r="AM174" s="688"/>
      <c r="AN174" s="688"/>
      <c r="AO174" s="688"/>
      <c r="AP174" s="688"/>
      <c r="AQ174" s="688"/>
      <c r="AR174" s="688"/>
      <c r="AS174" s="688"/>
      <c r="AT174" s="688"/>
      <c r="AU174" s="688"/>
      <c r="AV174" s="688"/>
      <c r="AW174" s="688"/>
      <c r="AX174" s="688"/>
      <c r="AY174" s="688"/>
      <c r="AZ174" s="688"/>
      <c r="BA174" s="688"/>
      <c r="BB174" s="688"/>
      <c r="BC174" s="688"/>
      <c r="BD174" s="688"/>
      <c r="BE174" s="688"/>
      <c r="BF174" s="688"/>
      <c r="BG174" s="688"/>
      <c r="BH174" s="688"/>
      <c r="BI174" s="688"/>
      <c r="BJ174" s="688"/>
      <c r="BK174" s="688"/>
      <c r="BL174" s="688"/>
      <c r="BM174" s="688"/>
      <c r="BN174" s="688"/>
      <c r="BO174" s="688"/>
      <c r="BP174" s="688"/>
      <c r="BQ174" s="688"/>
      <c r="BR174" s="688"/>
      <c r="BS174" s="688"/>
      <c r="BT174" s="688"/>
      <c r="BU174" s="688"/>
      <c r="BV174" s="688"/>
      <c r="BW174" s="688"/>
      <c r="BX174" s="688"/>
      <c r="BY174" s="688"/>
      <c r="BZ174" s="688"/>
      <c r="CA174" s="688"/>
      <c r="CB174" s="688"/>
      <c r="CC174" s="688"/>
      <c r="CD174" s="688"/>
      <c r="CE174" s="688"/>
      <c r="CF174" s="688"/>
      <c r="CG174" s="688"/>
      <c r="CH174" s="688"/>
      <c r="CI174" s="688"/>
      <c r="CJ174" s="688"/>
      <c r="CK174" s="688"/>
      <c r="CL174" s="688"/>
      <c r="CM174" s="688"/>
      <c r="CN174" s="688"/>
      <c r="CO174" s="688"/>
      <c r="CP174" s="688"/>
      <c r="CQ174" s="688"/>
      <c r="CR174" s="688"/>
      <c r="CS174" s="688"/>
      <c r="CT174" s="688"/>
      <c r="CU174" s="688"/>
      <c r="CV174" s="688"/>
      <c r="CW174" s="688"/>
      <c r="CX174" s="688"/>
      <c r="CY174" s="688"/>
      <c r="CZ174" s="688"/>
      <c r="DA174" s="688"/>
      <c r="DB174" s="688"/>
      <c r="DC174" s="688"/>
      <c r="DD174" s="688"/>
      <c r="DE174" s="688"/>
      <c r="DF174" s="688"/>
      <c r="DG174" s="688"/>
      <c r="DH174" s="688"/>
      <c r="DI174" s="688"/>
      <c r="DJ174" s="688"/>
      <c r="DK174" s="688"/>
      <c r="DL174" s="688"/>
      <c r="DM174" s="688"/>
      <c r="DN174" s="688"/>
      <c r="DO174" s="688"/>
      <c r="DP174" s="688"/>
      <c r="DQ174" s="688"/>
      <c r="DR174" s="688"/>
      <c r="DS174" s="688"/>
      <c r="DT174" s="688"/>
      <c r="DU174" s="688"/>
      <c r="DV174" s="688"/>
    </row>
    <row r="175" spans="1:126" ht="13.5" customHeight="1" hidden="1">
      <c r="A175" s="56"/>
      <c r="B175" s="746"/>
      <c r="D175" s="682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6"/>
      <c r="CK175" s="196"/>
      <c r="CL175" s="196"/>
      <c r="CM175" s="196"/>
      <c r="CN175" s="196"/>
      <c r="CO175" s="196"/>
      <c r="CP175" s="196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/>
      <c r="DJ175" s="196"/>
      <c r="DK175" s="196"/>
      <c r="DL175" s="196"/>
      <c r="DM175" s="196"/>
      <c r="DN175" s="196"/>
      <c r="DO175" s="196"/>
      <c r="DP175" s="196"/>
      <c r="DQ175" s="196"/>
      <c r="DR175" s="196"/>
      <c r="DS175" s="196"/>
      <c r="DT175" s="196"/>
      <c r="DU175" s="196"/>
      <c r="DV175" s="196"/>
    </row>
    <row r="176" spans="1:126" ht="28.5" customHeight="1" hidden="1">
      <c r="A176" s="56"/>
      <c r="B176" s="746"/>
      <c r="D176" s="568"/>
      <c r="F176" s="686"/>
      <c r="G176" s="686"/>
      <c r="H176" s="686"/>
      <c r="I176" s="686"/>
      <c r="J176" s="686"/>
      <c r="K176" s="686"/>
      <c r="L176" s="686"/>
      <c r="M176" s="686"/>
      <c r="N176" s="686"/>
      <c r="O176" s="686"/>
      <c r="P176" s="686"/>
      <c r="Q176" s="686"/>
      <c r="R176" s="686"/>
      <c r="S176" s="686"/>
      <c r="T176" s="686"/>
      <c r="U176" s="686"/>
      <c r="V176" s="686"/>
      <c r="W176" s="686"/>
      <c r="X176" s="686"/>
      <c r="Y176" s="686"/>
      <c r="Z176" s="686"/>
      <c r="AA176" s="686"/>
      <c r="AB176" s="686"/>
      <c r="AC176" s="686"/>
      <c r="AD176" s="686"/>
      <c r="AE176" s="686"/>
      <c r="AF176" s="686"/>
      <c r="AG176" s="686"/>
      <c r="AH176" s="686"/>
      <c r="AI176" s="686"/>
      <c r="AJ176" s="686"/>
      <c r="AK176" s="686"/>
      <c r="AL176" s="686"/>
      <c r="AM176" s="686"/>
      <c r="AN176" s="686"/>
      <c r="AO176" s="686"/>
      <c r="AP176" s="686"/>
      <c r="AQ176" s="686"/>
      <c r="AR176" s="686"/>
      <c r="AS176" s="686"/>
      <c r="AT176" s="686"/>
      <c r="AU176" s="686"/>
      <c r="AV176" s="686"/>
      <c r="AW176" s="686"/>
      <c r="AX176" s="686"/>
      <c r="AY176" s="686"/>
      <c r="AZ176" s="686"/>
      <c r="BA176" s="686"/>
      <c r="BB176" s="686"/>
      <c r="BC176" s="686"/>
      <c r="BD176" s="686"/>
      <c r="BE176" s="686"/>
      <c r="BF176" s="686"/>
      <c r="BG176" s="686"/>
      <c r="BH176" s="686"/>
      <c r="BI176" s="686"/>
      <c r="BJ176" s="686"/>
      <c r="BK176" s="686"/>
      <c r="BL176" s="686"/>
      <c r="BM176" s="686"/>
      <c r="BN176" s="686"/>
      <c r="BO176" s="686"/>
      <c r="BP176" s="686"/>
      <c r="BQ176" s="686"/>
      <c r="BR176" s="686"/>
      <c r="BS176" s="686"/>
      <c r="BT176" s="686"/>
      <c r="BU176" s="686"/>
      <c r="BV176" s="686"/>
      <c r="BW176" s="686"/>
      <c r="BX176" s="686"/>
      <c r="BY176" s="686"/>
      <c r="BZ176" s="686"/>
      <c r="CA176" s="686"/>
      <c r="CB176" s="686"/>
      <c r="CC176" s="686"/>
      <c r="CD176" s="686"/>
      <c r="CE176" s="686"/>
      <c r="CF176" s="686"/>
      <c r="CG176" s="686"/>
      <c r="CH176" s="686"/>
      <c r="CI176" s="686"/>
      <c r="CJ176" s="686"/>
      <c r="CK176" s="686"/>
      <c r="CL176" s="686"/>
      <c r="CM176" s="686"/>
      <c r="CN176" s="686"/>
      <c r="CO176" s="686"/>
      <c r="CP176" s="686"/>
      <c r="CQ176" s="686"/>
      <c r="CR176" s="686"/>
      <c r="CS176" s="686"/>
      <c r="CT176" s="686"/>
      <c r="CU176" s="686"/>
      <c r="CV176" s="686"/>
      <c r="CW176" s="686"/>
      <c r="CX176" s="686"/>
      <c r="CY176" s="686"/>
      <c r="CZ176" s="686"/>
      <c r="DA176" s="686"/>
      <c r="DB176" s="686"/>
      <c r="DC176" s="686"/>
      <c r="DD176" s="686"/>
      <c r="DE176" s="686"/>
      <c r="DF176" s="686"/>
      <c r="DG176" s="686"/>
      <c r="DH176" s="686"/>
      <c r="DI176" s="686"/>
      <c r="DJ176" s="686"/>
      <c r="DK176" s="686"/>
      <c r="DL176" s="686"/>
      <c r="DM176" s="686"/>
      <c r="DN176" s="686"/>
      <c r="DO176" s="686"/>
      <c r="DP176" s="686"/>
      <c r="DQ176" s="686"/>
      <c r="DR176" s="686"/>
      <c r="DS176" s="686"/>
      <c r="DT176" s="686"/>
      <c r="DU176" s="686"/>
      <c r="DV176" s="686"/>
    </row>
    <row r="177" spans="1:126" ht="12.75" hidden="1">
      <c r="A177" s="56"/>
      <c r="B177" s="746"/>
      <c r="D177" s="194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</row>
    <row r="178" spans="1:175" ht="12.75" hidden="1">
      <c r="A178" s="56"/>
      <c r="B178" s="746"/>
      <c r="D178" s="684"/>
      <c r="F178" s="685"/>
      <c r="G178" s="685"/>
      <c r="H178" s="685"/>
      <c r="I178" s="685"/>
      <c r="J178" s="685"/>
      <c r="K178" s="685"/>
      <c r="L178" s="685"/>
      <c r="M178" s="685"/>
      <c r="N178" s="685"/>
      <c r="O178" s="685"/>
      <c r="P178" s="685"/>
      <c r="Q178" s="685"/>
      <c r="R178" s="685"/>
      <c r="S178" s="685"/>
      <c r="T178" s="685"/>
      <c r="U178" s="685"/>
      <c r="V178" s="685"/>
      <c r="W178" s="685"/>
      <c r="X178" s="685"/>
      <c r="Y178" s="685"/>
      <c r="Z178" s="685"/>
      <c r="AA178" s="685"/>
      <c r="AB178" s="685"/>
      <c r="AC178" s="685"/>
      <c r="AD178" s="685"/>
      <c r="AE178" s="685"/>
      <c r="AF178" s="685"/>
      <c r="AG178" s="685"/>
      <c r="AH178" s="685"/>
      <c r="AI178" s="685"/>
      <c r="AJ178" s="685"/>
      <c r="AK178" s="685"/>
      <c r="AL178" s="685"/>
      <c r="AM178" s="685"/>
      <c r="AN178" s="685"/>
      <c r="AO178" s="685"/>
      <c r="AP178" s="685"/>
      <c r="AQ178" s="685"/>
      <c r="AR178" s="685"/>
      <c r="AS178" s="685"/>
      <c r="AT178" s="685"/>
      <c r="AU178" s="685"/>
      <c r="AV178" s="685"/>
      <c r="AW178" s="685"/>
      <c r="AX178" s="685"/>
      <c r="AY178" s="685"/>
      <c r="AZ178" s="685"/>
      <c r="BA178" s="685"/>
      <c r="BB178" s="685"/>
      <c r="BC178" s="685"/>
      <c r="BD178" s="685"/>
      <c r="BE178" s="685"/>
      <c r="BF178" s="685"/>
      <c r="BG178" s="685"/>
      <c r="BH178" s="685"/>
      <c r="BI178" s="685"/>
      <c r="BJ178" s="685"/>
      <c r="BK178" s="685"/>
      <c r="BL178" s="685"/>
      <c r="BM178" s="685"/>
      <c r="BN178" s="685"/>
      <c r="BO178" s="685"/>
      <c r="BP178" s="685"/>
      <c r="BQ178" s="685"/>
      <c r="BR178" s="685"/>
      <c r="BS178" s="685"/>
      <c r="BT178" s="685"/>
      <c r="BU178" s="685"/>
      <c r="BV178" s="685"/>
      <c r="BW178" s="685"/>
      <c r="BX178" s="685"/>
      <c r="BY178" s="685"/>
      <c r="BZ178" s="685"/>
      <c r="CA178" s="685"/>
      <c r="CB178" s="685"/>
      <c r="CC178" s="685"/>
      <c r="CD178" s="685"/>
      <c r="CE178" s="685"/>
      <c r="CF178" s="685"/>
      <c r="CG178" s="685"/>
      <c r="CH178" s="685"/>
      <c r="CI178" s="685"/>
      <c r="CJ178" s="685"/>
      <c r="CK178" s="685"/>
      <c r="CL178" s="685"/>
      <c r="CM178" s="685"/>
      <c r="CN178" s="685"/>
      <c r="CO178" s="685"/>
      <c r="CP178" s="685"/>
      <c r="CQ178" s="685"/>
      <c r="CR178" s="685"/>
      <c r="CS178" s="685"/>
      <c r="CT178" s="685"/>
      <c r="CU178" s="685"/>
      <c r="CV178" s="685"/>
      <c r="CW178" s="685"/>
      <c r="CX178" s="685"/>
      <c r="CY178" s="685"/>
      <c r="CZ178" s="685"/>
      <c r="DA178" s="685"/>
      <c r="DB178" s="685"/>
      <c r="DC178" s="685"/>
      <c r="DD178" s="685"/>
      <c r="DE178" s="685"/>
      <c r="DF178" s="685"/>
      <c r="DG178" s="685"/>
      <c r="DH178" s="685"/>
      <c r="DI178" s="685"/>
      <c r="DJ178" s="685"/>
      <c r="DK178" s="685"/>
      <c r="DL178" s="685"/>
      <c r="DM178" s="685"/>
      <c r="DN178" s="685"/>
      <c r="DO178" s="685"/>
      <c r="DP178" s="685"/>
      <c r="DQ178" s="685"/>
      <c r="DR178" s="685"/>
      <c r="DS178" s="685"/>
      <c r="DT178" s="685"/>
      <c r="DU178" s="685"/>
      <c r="DV178" s="685"/>
      <c r="DW178" s="683"/>
      <c r="DX178" s="683"/>
      <c r="DY178" s="683"/>
      <c r="DZ178" s="683"/>
      <c r="EA178" s="683"/>
      <c r="EB178" s="683"/>
      <c r="EC178" s="683"/>
      <c r="ED178" s="683"/>
      <c r="EE178" s="683"/>
      <c r="EF178" s="683"/>
      <c r="EG178" s="683"/>
      <c r="EH178" s="683"/>
      <c r="EI178" s="683"/>
      <c r="EJ178" s="683"/>
      <c r="EK178" s="683"/>
      <c r="EL178" s="683"/>
      <c r="EM178" s="683"/>
      <c r="EN178" s="683"/>
      <c r="EO178" s="683"/>
      <c r="EP178" s="683"/>
      <c r="EQ178" s="683"/>
      <c r="ER178" s="683"/>
      <c r="ES178" s="683"/>
      <c r="ET178" s="683"/>
      <c r="EU178" s="683"/>
      <c r="EV178" s="683"/>
      <c r="EW178" s="683"/>
      <c r="EX178" s="683"/>
      <c r="EY178" s="683"/>
      <c r="EZ178" s="683"/>
      <c r="FA178" s="683"/>
      <c r="FB178" s="683"/>
      <c r="FC178" s="683"/>
      <c r="FD178" s="683"/>
      <c r="FE178" s="683"/>
      <c r="FF178" s="683"/>
      <c r="FG178" s="683"/>
      <c r="FH178" s="683"/>
      <c r="FI178" s="683"/>
      <c r="FJ178" s="683"/>
      <c r="FK178" s="683"/>
      <c r="FL178" s="683"/>
      <c r="FM178" s="683"/>
      <c r="FN178" s="683"/>
      <c r="FO178" s="683"/>
      <c r="FP178" s="683"/>
      <c r="FQ178" s="683"/>
      <c r="FR178" s="683"/>
      <c r="FS178" s="683"/>
    </row>
    <row r="179" spans="1:175" ht="12.75" hidden="1">
      <c r="A179" s="56"/>
      <c r="B179" s="746"/>
      <c r="D179" s="684"/>
      <c r="F179" s="685"/>
      <c r="G179" s="685"/>
      <c r="H179" s="685"/>
      <c r="I179" s="685"/>
      <c r="J179" s="685"/>
      <c r="K179" s="685"/>
      <c r="L179" s="685"/>
      <c r="M179" s="685"/>
      <c r="N179" s="685"/>
      <c r="O179" s="685"/>
      <c r="P179" s="685"/>
      <c r="Q179" s="685"/>
      <c r="R179" s="685"/>
      <c r="S179" s="685"/>
      <c r="T179" s="685"/>
      <c r="U179" s="685"/>
      <c r="V179" s="685"/>
      <c r="W179" s="685"/>
      <c r="X179" s="685"/>
      <c r="Y179" s="685"/>
      <c r="Z179" s="685"/>
      <c r="AA179" s="685"/>
      <c r="AB179" s="685"/>
      <c r="AC179" s="685"/>
      <c r="AD179" s="685"/>
      <c r="AE179" s="685"/>
      <c r="AF179" s="685"/>
      <c r="AG179" s="685"/>
      <c r="AH179" s="685"/>
      <c r="AI179" s="685"/>
      <c r="AJ179" s="685"/>
      <c r="AK179" s="685"/>
      <c r="AL179" s="685"/>
      <c r="AM179" s="685"/>
      <c r="AN179" s="685"/>
      <c r="AO179" s="685"/>
      <c r="AP179" s="685"/>
      <c r="AQ179" s="685"/>
      <c r="AR179" s="685"/>
      <c r="AS179" s="685"/>
      <c r="AT179" s="685"/>
      <c r="AU179" s="685"/>
      <c r="AV179" s="685"/>
      <c r="AW179" s="685"/>
      <c r="AX179" s="685"/>
      <c r="AY179" s="685"/>
      <c r="AZ179" s="685"/>
      <c r="BA179" s="685"/>
      <c r="BB179" s="685"/>
      <c r="BC179" s="685"/>
      <c r="BD179" s="685"/>
      <c r="BE179" s="685"/>
      <c r="BF179" s="685"/>
      <c r="BG179" s="685"/>
      <c r="BH179" s="685"/>
      <c r="BI179" s="685"/>
      <c r="BJ179" s="685"/>
      <c r="BK179" s="685"/>
      <c r="BL179" s="685"/>
      <c r="BM179" s="685"/>
      <c r="BN179" s="685"/>
      <c r="BO179" s="685"/>
      <c r="BP179" s="685"/>
      <c r="BQ179" s="685"/>
      <c r="BR179" s="685"/>
      <c r="BS179" s="685"/>
      <c r="BT179" s="685"/>
      <c r="BU179" s="685"/>
      <c r="BV179" s="685"/>
      <c r="BW179" s="685"/>
      <c r="BX179" s="685"/>
      <c r="BY179" s="685"/>
      <c r="BZ179" s="685"/>
      <c r="CA179" s="685"/>
      <c r="CB179" s="685"/>
      <c r="CC179" s="685"/>
      <c r="CD179" s="685"/>
      <c r="CE179" s="685"/>
      <c r="CF179" s="685"/>
      <c r="CG179" s="685"/>
      <c r="CH179" s="685"/>
      <c r="CI179" s="685"/>
      <c r="CJ179" s="685"/>
      <c r="CK179" s="685"/>
      <c r="CL179" s="685"/>
      <c r="CM179" s="685"/>
      <c r="CN179" s="685"/>
      <c r="CO179" s="685"/>
      <c r="CP179" s="685"/>
      <c r="CQ179" s="685"/>
      <c r="CR179" s="685"/>
      <c r="CS179" s="685"/>
      <c r="CT179" s="685"/>
      <c r="CU179" s="685"/>
      <c r="CV179" s="685"/>
      <c r="CW179" s="685"/>
      <c r="CX179" s="685"/>
      <c r="CY179" s="685"/>
      <c r="CZ179" s="685"/>
      <c r="DA179" s="685"/>
      <c r="DB179" s="685"/>
      <c r="DC179" s="685"/>
      <c r="DD179" s="685"/>
      <c r="DE179" s="685"/>
      <c r="DF179" s="685"/>
      <c r="DG179" s="685"/>
      <c r="DH179" s="685"/>
      <c r="DI179" s="685"/>
      <c r="DJ179" s="685"/>
      <c r="DK179" s="685"/>
      <c r="DL179" s="685"/>
      <c r="DM179" s="685"/>
      <c r="DN179" s="685"/>
      <c r="DO179" s="685"/>
      <c r="DP179" s="685"/>
      <c r="DQ179" s="685"/>
      <c r="DR179" s="685"/>
      <c r="DS179" s="685"/>
      <c r="DT179" s="685"/>
      <c r="DU179" s="685"/>
      <c r="DV179" s="685"/>
      <c r="DW179" s="683"/>
      <c r="DX179" s="683"/>
      <c r="DY179" s="683"/>
      <c r="DZ179" s="683"/>
      <c r="EA179" s="683"/>
      <c r="EB179" s="683"/>
      <c r="EC179" s="683"/>
      <c r="ED179" s="683"/>
      <c r="EE179" s="683"/>
      <c r="EF179" s="683"/>
      <c r="EG179" s="683"/>
      <c r="EH179" s="683"/>
      <c r="EI179" s="683"/>
      <c r="EJ179" s="683"/>
      <c r="EK179" s="683"/>
      <c r="EL179" s="683"/>
      <c r="EM179" s="683"/>
      <c r="EN179" s="683"/>
      <c r="EO179" s="683"/>
      <c r="EP179" s="683"/>
      <c r="EQ179" s="683"/>
      <c r="ER179" s="683"/>
      <c r="ES179" s="683"/>
      <c r="ET179" s="683"/>
      <c r="EU179" s="683"/>
      <c r="EV179" s="683"/>
      <c r="EW179" s="683"/>
      <c r="EX179" s="683"/>
      <c r="EY179" s="683"/>
      <c r="EZ179" s="683"/>
      <c r="FA179" s="683"/>
      <c r="FB179" s="683"/>
      <c r="FC179" s="683"/>
      <c r="FD179" s="683"/>
      <c r="FE179" s="683"/>
      <c r="FF179" s="683"/>
      <c r="FG179" s="683"/>
      <c r="FH179" s="683"/>
      <c r="FI179" s="683"/>
      <c r="FJ179" s="683"/>
      <c r="FK179" s="683"/>
      <c r="FL179" s="683"/>
      <c r="FM179" s="683"/>
      <c r="FN179" s="683"/>
      <c r="FO179" s="683"/>
      <c r="FP179" s="683"/>
      <c r="FQ179" s="683"/>
      <c r="FR179" s="683"/>
      <c r="FS179" s="683"/>
    </row>
    <row r="180" spans="1:126" ht="12.75" hidden="1">
      <c r="A180" s="56"/>
      <c r="B180" s="746"/>
      <c r="D180" s="194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</row>
    <row r="181" spans="1:126" ht="12.75" hidden="1">
      <c r="A181" s="56"/>
      <c r="B181" s="746"/>
      <c r="D181" s="194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</row>
    <row r="182" spans="1:126" ht="12.75" hidden="1">
      <c r="A182" s="56"/>
      <c r="B182" s="746"/>
      <c r="D182" s="564"/>
      <c r="F182" s="646"/>
      <c r="G182" s="646"/>
      <c r="H182" s="646"/>
      <c r="I182" s="646"/>
      <c r="J182" s="646"/>
      <c r="K182" s="646"/>
      <c r="L182" s="646"/>
      <c r="M182" s="646"/>
      <c r="N182" s="646"/>
      <c r="O182" s="646"/>
      <c r="P182" s="646"/>
      <c r="Q182" s="646"/>
      <c r="R182" s="646"/>
      <c r="S182" s="646"/>
      <c r="T182" s="646"/>
      <c r="U182" s="646"/>
      <c r="V182" s="646"/>
      <c r="W182" s="646"/>
      <c r="X182" s="646"/>
      <c r="Y182" s="646"/>
      <c r="Z182" s="646"/>
      <c r="AA182" s="646"/>
      <c r="AB182" s="646"/>
      <c r="AC182" s="646"/>
      <c r="AD182" s="646"/>
      <c r="AE182" s="646"/>
      <c r="AF182" s="646"/>
      <c r="AG182" s="646"/>
      <c r="AH182" s="646"/>
      <c r="AI182" s="646"/>
      <c r="AJ182" s="646"/>
      <c r="AK182" s="646"/>
      <c r="AL182" s="646"/>
      <c r="AM182" s="646"/>
      <c r="AN182" s="646"/>
      <c r="AO182" s="646"/>
      <c r="AP182" s="646"/>
      <c r="AQ182" s="646"/>
      <c r="AR182" s="646"/>
      <c r="AS182" s="646"/>
      <c r="AT182" s="646"/>
      <c r="AU182" s="646"/>
      <c r="AV182" s="646"/>
      <c r="AW182" s="646"/>
      <c r="AX182" s="646"/>
      <c r="AY182" s="646"/>
      <c r="AZ182" s="646"/>
      <c r="BA182" s="646"/>
      <c r="BB182" s="646"/>
      <c r="BC182" s="646"/>
      <c r="BD182" s="646"/>
      <c r="BE182" s="646"/>
      <c r="BF182" s="646"/>
      <c r="BG182" s="646"/>
      <c r="BH182" s="646"/>
      <c r="BI182" s="646"/>
      <c r="BJ182" s="646"/>
      <c r="BK182" s="646"/>
      <c r="BL182" s="646"/>
      <c r="BM182" s="646"/>
      <c r="BN182" s="646"/>
      <c r="BO182" s="646"/>
      <c r="BP182" s="646"/>
      <c r="BQ182" s="646"/>
      <c r="BR182" s="646"/>
      <c r="BS182" s="646"/>
      <c r="BT182" s="646"/>
      <c r="BU182" s="646"/>
      <c r="BV182" s="646"/>
      <c r="BW182" s="646"/>
      <c r="BX182" s="646"/>
      <c r="BY182" s="646"/>
      <c r="BZ182" s="646"/>
      <c r="CA182" s="646"/>
      <c r="CB182" s="646"/>
      <c r="CC182" s="646"/>
      <c r="CD182" s="646"/>
      <c r="CE182" s="646"/>
      <c r="CF182" s="646"/>
      <c r="CG182" s="646"/>
      <c r="CH182" s="646"/>
      <c r="CI182" s="646"/>
      <c r="CJ182" s="646"/>
      <c r="CK182" s="646"/>
      <c r="CL182" s="646"/>
      <c r="CM182" s="646"/>
      <c r="CN182" s="646"/>
      <c r="CO182" s="646"/>
      <c r="CP182" s="646"/>
      <c r="CQ182" s="646"/>
      <c r="CR182" s="646"/>
      <c r="CS182" s="646"/>
      <c r="CT182" s="646"/>
      <c r="CU182" s="646"/>
      <c r="CV182" s="646"/>
      <c r="CW182" s="646"/>
      <c r="CX182" s="646"/>
      <c r="CY182" s="646"/>
      <c r="CZ182" s="646"/>
      <c r="DA182" s="646"/>
      <c r="DB182" s="646"/>
      <c r="DC182" s="646"/>
      <c r="DD182" s="646"/>
      <c r="DE182" s="646"/>
      <c r="DF182" s="646"/>
      <c r="DG182" s="646"/>
      <c r="DH182" s="646"/>
      <c r="DI182" s="646"/>
      <c r="DJ182" s="646"/>
      <c r="DK182" s="646"/>
      <c r="DL182" s="646"/>
      <c r="DM182" s="646"/>
      <c r="DN182" s="646"/>
      <c r="DO182" s="646"/>
      <c r="DP182" s="646"/>
      <c r="DQ182" s="646"/>
      <c r="DR182" s="646"/>
      <c r="DS182" s="646"/>
      <c r="DT182" s="646"/>
      <c r="DU182" s="646"/>
      <c r="DV182" s="646"/>
    </row>
    <row r="183" spans="1:126" ht="12.75" hidden="1">
      <c r="A183" s="56"/>
      <c r="B183" s="746"/>
      <c r="D183" s="564"/>
      <c r="F183" s="646"/>
      <c r="G183" s="646"/>
      <c r="H183" s="646"/>
      <c r="I183" s="646"/>
      <c r="J183" s="646"/>
      <c r="K183" s="646"/>
      <c r="L183" s="646"/>
      <c r="M183" s="646"/>
      <c r="N183" s="646"/>
      <c r="O183" s="646"/>
      <c r="P183" s="646"/>
      <c r="Q183" s="646"/>
      <c r="R183" s="646"/>
      <c r="S183" s="646"/>
      <c r="T183" s="646"/>
      <c r="U183" s="646"/>
      <c r="V183" s="646"/>
      <c r="W183" s="646"/>
      <c r="X183" s="646"/>
      <c r="Y183" s="646"/>
      <c r="Z183" s="646"/>
      <c r="AA183" s="646"/>
      <c r="AB183" s="646"/>
      <c r="AC183" s="646"/>
      <c r="AD183" s="646"/>
      <c r="AE183" s="646"/>
      <c r="AF183" s="646"/>
      <c r="AG183" s="646"/>
      <c r="AH183" s="646"/>
      <c r="AI183" s="646"/>
      <c r="AJ183" s="646"/>
      <c r="AK183" s="646"/>
      <c r="AL183" s="646"/>
      <c r="AM183" s="646"/>
      <c r="AN183" s="646"/>
      <c r="AO183" s="646"/>
      <c r="AP183" s="646"/>
      <c r="AQ183" s="646"/>
      <c r="AR183" s="646"/>
      <c r="AS183" s="646"/>
      <c r="AT183" s="646"/>
      <c r="AU183" s="646"/>
      <c r="AV183" s="646"/>
      <c r="AW183" s="646"/>
      <c r="AX183" s="646"/>
      <c r="AY183" s="646"/>
      <c r="AZ183" s="646"/>
      <c r="BA183" s="646"/>
      <c r="BB183" s="646"/>
      <c r="BC183" s="646"/>
      <c r="BD183" s="646"/>
      <c r="BE183" s="646"/>
      <c r="BF183" s="646"/>
      <c r="BG183" s="646"/>
      <c r="BH183" s="646"/>
      <c r="BI183" s="646"/>
      <c r="BJ183" s="646"/>
      <c r="BK183" s="646"/>
      <c r="BL183" s="646"/>
      <c r="BM183" s="646"/>
      <c r="BN183" s="646"/>
      <c r="BO183" s="646"/>
      <c r="BP183" s="646"/>
      <c r="BQ183" s="646"/>
      <c r="BR183" s="646"/>
      <c r="BS183" s="646"/>
      <c r="BT183" s="646"/>
      <c r="BU183" s="646"/>
      <c r="BV183" s="646"/>
      <c r="BW183" s="646"/>
      <c r="BX183" s="646"/>
      <c r="BY183" s="646"/>
      <c r="BZ183" s="646"/>
      <c r="CA183" s="646"/>
      <c r="CB183" s="646"/>
      <c r="CC183" s="646"/>
      <c r="CD183" s="646"/>
      <c r="CE183" s="646"/>
      <c r="CF183" s="646"/>
      <c r="CG183" s="646"/>
      <c r="CH183" s="646"/>
      <c r="CI183" s="646"/>
      <c r="CJ183" s="646"/>
      <c r="CK183" s="646"/>
      <c r="CL183" s="646"/>
      <c r="CM183" s="646"/>
      <c r="CN183" s="646"/>
      <c r="CO183" s="646"/>
      <c r="CP183" s="646"/>
      <c r="CQ183" s="646"/>
      <c r="CR183" s="646"/>
      <c r="CS183" s="646"/>
      <c r="CT183" s="646"/>
      <c r="CU183" s="646"/>
      <c r="CV183" s="646"/>
      <c r="CW183" s="646"/>
      <c r="CX183" s="646"/>
      <c r="CY183" s="646"/>
      <c r="CZ183" s="646"/>
      <c r="DA183" s="646"/>
      <c r="DB183" s="646"/>
      <c r="DC183" s="646"/>
      <c r="DD183" s="646"/>
      <c r="DE183" s="646"/>
      <c r="DF183" s="646"/>
      <c r="DG183" s="646"/>
      <c r="DH183" s="646"/>
      <c r="DI183" s="646"/>
      <c r="DJ183" s="646"/>
      <c r="DK183" s="646"/>
      <c r="DL183" s="646"/>
      <c r="DM183" s="646"/>
      <c r="DN183" s="646"/>
      <c r="DO183" s="646"/>
      <c r="DP183" s="646"/>
      <c r="DQ183" s="646"/>
      <c r="DR183" s="646"/>
      <c r="DS183" s="646"/>
      <c r="DT183" s="646"/>
      <c r="DU183" s="646"/>
      <c r="DV183" s="646"/>
    </row>
    <row r="184" spans="1:126" ht="12.75" hidden="1">
      <c r="A184" s="56"/>
      <c r="B184" s="746"/>
      <c r="D184" s="564"/>
      <c r="F184" s="646"/>
      <c r="G184" s="646"/>
      <c r="H184" s="646"/>
      <c r="I184" s="646"/>
      <c r="J184" s="646"/>
      <c r="K184" s="646"/>
      <c r="L184" s="646"/>
      <c r="M184" s="646"/>
      <c r="N184" s="646"/>
      <c r="O184" s="646"/>
      <c r="P184" s="646"/>
      <c r="Q184" s="646"/>
      <c r="R184" s="646"/>
      <c r="S184" s="646"/>
      <c r="T184" s="646"/>
      <c r="U184" s="646"/>
      <c r="V184" s="646"/>
      <c r="W184" s="646"/>
      <c r="X184" s="646"/>
      <c r="Y184" s="646"/>
      <c r="Z184" s="646"/>
      <c r="AA184" s="646"/>
      <c r="AB184" s="646"/>
      <c r="AC184" s="646"/>
      <c r="AD184" s="646"/>
      <c r="AE184" s="646"/>
      <c r="AF184" s="646"/>
      <c r="AG184" s="646"/>
      <c r="AH184" s="646"/>
      <c r="AI184" s="646"/>
      <c r="AJ184" s="646"/>
      <c r="AK184" s="646"/>
      <c r="AL184" s="646"/>
      <c r="AM184" s="646"/>
      <c r="AN184" s="646"/>
      <c r="AO184" s="646"/>
      <c r="AP184" s="646"/>
      <c r="AQ184" s="646"/>
      <c r="AR184" s="646"/>
      <c r="AS184" s="646"/>
      <c r="AT184" s="646"/>
      <c r="AU184" s="646"/>
      <c r="AV184" s="646"/>
      <c r="AW184" s="646"/>
      <c r="AX184" s="646"/>
      <c r="AY184" s="646"/>
      <c r="AZ184" s="646"/>
      <c r="BA184" s="646"/>
      <c r="BB184" s="646"/>
      <c r="BC184" s="646"/>
      <c r="BD184" s="646"/>
      <c r="BE184" s="646"/>
      <c r="BF184" s="646"/>
      <c r="BG184" s="646"/>
      <c r="BH184" s="646"/>
      <c r="BI184" s="646"/>
      <c r="BJ184" s="646"/>
      <c r="BK184" s="646"/>
      <c r="BL184" s="646"/>
      <c r="BM184" s="646"/>
      <c r="BN184" s="646"/>
      <c r="BO184" s="646"/>
      <c r="BP184" s="646"/>
      <c r="BQ184" s="646"/>
      <c r="BR184" s="646"/>
      <c r="BS184" s="646"/>
      <c r="BT184" s="646"/>
      <c r="BU184" s="646"/>
      <c r="BV184" s="646"/>
      <c r="BW184" s="646"/>
      <c r="BX184" s="646"/>
      <c r="BY184" s="646"/>
      <c r="BZ184" s="646"/>
      <c r="CA184" s="646"/>
      <c r="CB184" s="646"/>
      <c r="CC184" s="646"/>
      <c r="CD184" s="646"/>
      <c r="CE184" s="646"/>
      <c r="CF184" s="646"/>
      <c r="CG184" s="646"/>
      <c r="CH184" s="646"/>
      <c r="CI184" s="646"/>
      <c r="CJ184" s="646"/>
      <c r="CK184" s="646"/>
      <c r="CL184" s="646"/>
      <c r="CM184" s="646"/>
      <c r="CN184" s="646"/>
      <c r="CO184" s="646"/>
      <c r="CP184" s="646"/>
      <c r="CQ184" s="646"/>
      <c r="CR184" s="646"/>
      <c r="CS184" s="646"/>
      <c r="CT184" s="646"/>
      <c r="CU184" s="646"/>
      <c r="CV184" s="646"/>
      <c r="CW184" s="646"/>
      <c r="CX184" s="646"/>
      <c r="CY184" s="646"/>
      <c r="CZ184" s="646"/>
      <c r="DA184" s="646"/>
      <c r="DB184" s="646"/>
      <c r="DC184" s="646"/>
      <c r="DD184" s="646"/>
      <c r="DE184" s="646"/>
      <c r="DF184" s="646"/>
      <c r="DG184" s="646"/>
      <c r="DH184" s="646"/>
      <c r="DI184" s="646"/>
      <c r="DJ184" s="646"/>
      <c r="DK184" s="646"/>
      <c r="DL184" s="646"/>
      <c r="DM184" s="646"/>
      <c r="DN184" s="646"/>
      <c r="DO184" s="646"/>
      <c r="DP184" s="646"/>
      <c r="DQ184" s="646"/>
      <c r="DR184" s="646"/>
      <c r="DS184" s="646"/>
      <c r="DT184" s="646"/>
      <c r="DU184" s="646"/>
      <c r="DV184" s="646"/>
    </row>
    <row r="185" spans="1:126" ht="12.75" hidden="1">
      <c r="A185" s="56"/>
      <c r="B185" s="746"/>
      <c r="D185" s="194"/>
      <c r="F185" s="646"/>
      <c r="G185" s="646"/>
      <c r="H185" s="646"/>
      <c r="I185" s="646"/>
      <c r="J185" s="646"/>
      <c r="K185" s="646"/>
      <c r="L185" s="646"/>
      <c r="M185" s="646"/>
      <c r="N185" s="646"/>
      <c r="O185" s="646"/>
      <c r="P185" s="646"/>
      <c r="Q185" s="646"/>
      <c r="R185" s="646"/>
      <c r="S185" s="646"/>
      <c r="T185" s="646"/>
      <c r="U185" s="646"/>
      <c r="V185" s="646"/>
      <c r="W185" s="646"/>
      <c r="X185" s="646"/>
      <c r="Y185" s="646"/>
      <c r="Z185" s="646"/>
      <c r="AA185" s="646"/>
      <c r="AB185" s="646"/>
      <c r="AC185" s="646"/>
      <c r="AD185" s="646"/>
      <c r="AE185" s="646"/>
      <c r="AF185" s="646"/>
      <c r="AG185" s="646"/>
      <c r="AH185" s="646"/>
      <c r="AI185" s="646"/>
      <c r="AJ185" s="646"/>
      <c r="AK185" s="646"/>
      <c r="AL185" s="646"/>
      <c r="AM185" s="646"/>
      <c r="AN185" s="646"/>
      <c r="AO185" s="646"/>
      <c r="AP185" s="646"/>
      <c r="AQ185" s="646"/>
      <c r="AR185" s="646"/>
      <c r="AS185" s="646"/>
      <c r="AT185" s="646"/>
      <c r="AU185" s="646"/>
      <c r="AV185" s="646"/>
      <c r="AW185" s="646"/>
      <c r="AX185" s="646"/>
      <c r="AY185" s="646"/>
      <c r="AZ185" s="646"/>
      <c r="BA185" s="646"/>
      <c r="BB185" s="646"/>
      <c r="BC185" s="646"/>
      <c r="BD185" s="646"/>
      <c r="BE185" s="646"/>
      <c r="BF185" s="646"/>
      <c r="BG185" s="646"/>
      <c r="BH185" s="646"/>
      <c r="BI185" s="646"/>
      <c r="BJ185" s="646"/>
      <c r="BK185" s="646"/>
      <c r="BL185" s="646"/>
      <c r="BM185" s="646"/>
      <c r="BN185" s="646"/>
      <c r="BO185" s="646"/>
      <c r="BP185" s="646"/>
      <c r="BQ185" s="646"/>
      <c r="BR185" s="646"/>
      <c r="BS185" s="646"/>
      <c r="BT185" s="646"/>
      <c r="BU185" s="646"/>
      <c r="BV185" s="646"/>
      <c r="BW185" s="646"/>
      <c r="BX185" s="646"/>
      <c r="BY185" s="646"/>
      <c r="BZ185" s="646"/>
      <c r="CA185" s="646"/>
      <c r="CB185" s="646"/>
      <c r="CC185" s="646"/>
      <c r="CD185" s="646"/>
      <c r="CE185" s="646"/>
      <c r="CF185" s="646"/>
      <c r="CG185" s="646"/>
      <c r="CH185" s="646"/>
      <c r="CI185" s="646"/>
      <c r="CJ185" s="646"/>
      <c r="CK185" s="646"/>
      <c r="CL185" s="646"/>
      <c r="CM185" s="646"/>
      <c r="CN185" s="646"/>
      <c r="CO185" s="646"/>
      <c r="CP185" s="646"/>
      <c r="CQ185" s="646"/>
      <c r="CR185" s="646"/>
      <c r="CS185" s="646"/>
      <c r="CT185" s="646"/>
      <c r="CU185" s="646"/>
      <c r="CV185" s="646"/>
      <c r="CW185" s="646"/>
      <c r="CX185" s="646"/>
      <c r="CY185" s="646"/>
      <c r="CZ185" s="646"/>
      <c r="DA185" s="646"/>
      <c r="DB185" s="646"/>
      <c r="DC185" s="646"/>
      <c r="DD185" s="646"/>
      <c r="DE185" s="646"/>
      <c r="DF185" s="646"/>
      <c r="DG185" s="646"/>
      <c r="DH185" s="646"/>
      <c r="DI185" s="646"/>
      <c r="DJ185" s="646"/>
      <c r="DK185" s="646"/>
      <c r="DL185" s="646"/>
      <c r="DM185" s="646"/>
      <c r="DN185" s="646"/>
      <c r="DO185" s="646"/>
      <c r="DP185" s="646"/>
      <c r="DQ185" s="646"/>
      <c r="DR185" s="646"/>
      <c r="DS185" s="646"/>
      <c r="DT185" s="646"/>
      <c r="DU185" s="646"/>
      <c r="DV185" s="646"/>
    </row>
    <row r="186" spans="1:149" ht="12.75" hidden="1">
      <c r="A186" s="56"/>
      <c r="B186" s="746"/>
      <c r="D186" s="650"/>
      <c r="F186" s="647"/>
      <c r="G186" s="647"/>
      <c r="H186" s="647"/>
      <c r="I186" s="647"/>
      <c r="J186" s="647"/>
      <c r="K186" s="647"/>
      <c r="L186" s="647"/>
      <c r="M186" s="647"/>
      <c r="N186" s="647"/>
      <c r="O186" s="647"/>
      <c r="P186" s="647"/>
      <c r="Q186" s="647"/>
      <c r="R186" s="647"/>
      <c r="S186" s="647"/>
      <c r="T186" s="647"/>
      <c r="U186" s="647"/>
      <c r="V186" s="647"/>
      <c r="W186" s="647"/>
      <c r="X186" s="647"/>
      <c r="Y186" s="647"/>
      <c r="Z186" s="647"/>
      <c r="AA186" s="647"/>
      <c r="AB186" s="647"/>
      <c r="AC186" s="647"/>
      <c r="AD186" s="647"/>
      <c r="AE186" s="647"/>
      <c r="AF186" s="647"/>
      <c r="AG186" s="647"/>
      <c r="AH186" s="647"/>
      <c r="AI186" s="647"/>
      <c r="AJ186" s="647"/>
      <c r="AK186" s="647"/>
      <c r="AL186" s="647"/>
      <c r="AM186" s="647"/>
      <c r="AN186" s="647"/>
      <c r="AO186" s="647"/>
      <c r="AP186" s="647"/>
      <c r="AQ186" s="647"/>
      <c r="AR186" s="647"/>
      <c r="AS186" s="647"/>
      <c r="AT186" s="647"/>
      <c r="AU186" s="647"/>
      <c r="AV186" s="647"/>
      <c r="AW186" s="647"/>
      <c r="AX186" s="647"/>
      <c r="AY186" s="647"/>
      <c r="AZ186" s="647"/>
      <c r="BA186" s="647"/>
      <c r="BB186" s="647"/>
      <c r="BC186" s="647"/>
      <c r="BD186" s="647"/>
      <c r="BE186" s="647"/>
      <c r="BF186" s="647"/>
      <c r="BG186" s="647"/>
      <c r="BH186" s="647"/>
      <c r="BI186" s="647"/>
      <c r="BJ186" s="647"/>
      <c r="BK186" s="647"/>
      <c r="BL186" s="647"/>
      <c r="BM186" s="647"/>
      <c r="BN186" s="647"/>
      <c r="BO186" s="647"/>
      <c r="BP186" s="647"/>
      <c r="BQ186" s="647"/>
      <c r="BR186" s="647"/>
      <c r="BS186" s="647"/>
      <c r="BT186" s="647"/>
      <c r="BU186" s="647"/>
      <c r="BV186" s="647"/>
      <c r="BW186" s="647"/>
      <c r="BX186" s="647"/>
      <c r="BY186" s="647"/>
      <c r="BZ186" s="647"/>
      <c r="CA186" s="647"/>
      <c r="CB186" s="647"/>
      <c r="CC186" s="647"/>
      <c r="CD186" s="647"/>
      <c r="CE186" s="647"/>
      <c r="CF186" s="647"/>
      <c r="CG186" s="647"/>
      <c r="CH186" s="647"/>
      <c r="CI186" s="647"/>
      <c r="CJ186" s="647"/>
      <c r="CK186" s="647"/>
      <c r="CL186" s="647"/>
      <c r="CM186" s="647"/>
      <c r="CN186" s="647"/>
      <c r="CO186" s="647"/>
      <c r="CP186" s="647"/>
      <c r="CQ186" s="647"/>
      <c r="CR186" s="647"/>
      <c r="CS186" s="647"/>
      <c r="CT186" s="647"/>
      <c r="CU186" s="647"/>
      <c r="CV186" s="647"/>
      <c r="CW186" s="647"/>
      <c r="CX186" s="647"/>
      <c r="CY186" s="647"/>
      <c r="CZ186" s="647"/>
      <c r="DA186" s="647"/>
      <c r="DB186" s="647"/>
      <c r="DC186" s="647"/>
      <c r="DD186" s="647"/>
      <c r="DE186" s="647"/>
      <c r="DF186" s="647"/>
      <c r="DG186" s="647"/>
      <c r="DH186" s="647"/>
      <c r="DI186" s="647"/>
      <c r="DJ186" s="647"/>
      <c r="DK186" s="647"/>
      <c r="DL186" s="647"/>
      <c r="DM186" s="647"/>
      <c r="DN186" s="647"/>
      <c r="DO186" s="647"/>
      <c r="DP186" s="647"/>
      <c r="DQ186" s="647"/>
      <c r="DR186" s="647"/>
      <c r="DS186" s="647"/>
      <c r="DT186" s="647"/>
      <c r="DU186" s="647"/>
      <c r="DV186" s="647"/>
      <c r="DW186" s="574"/>
      <c r="DX186" s="574"/>
      <c r="DY186" s="574"/>
      <c r="DZ186" s="574"/>
      <c r="EA186" s="574"/>
      <c r="EB186" s="574"/>
      <c r="EC186" s="574"/>
      <c r="ED186" s="574"/>
      <c r="EE186" s="574"/>
      <c r="EF186" s="574"/>
      <c r="EG186" s="574"/>
      <c r="EH186" s="574"/>
      <c r="EI186" s="574"/>
      <c r="EJ186" s="574"/>
      <c r="EK186" s="574"/>
      <c r="EL186" s="574"/>
      <c r="EM186" s="574"/>
      <c r="EN186" s="574"/>
      <c r="EO186" s="574"/>
      <c r="EP186" s="574"/>
      <c r="EQ186" s="574"/>
      <c r="ER186" s="574"/>
      <c r="ES186" s="574"/>
    </row>
    <row r="187" spans="1:149" s="34" customFormat="1" ht="12.75" hidden="1">
      <c r="A187" s="56"/>
      <c r="B187" s="746"/>
      <c r="C187" s="58"/>
      <c r="D187" s="650"/>
      <c r="E187" s="25"/>
      <c r="F187" s="687"/>
      <c r="G187" s="687"/>
      <c r="H187" s="687"/>
      <c r="I187" s="687"/>
      <c r="J187" s="687"/>
      <c r="K187" s="687"/>
      <c r="L187" s="687"/>
      <c r="M187" s="687"/>
      <c r="N187" s="687"/>
      <c r="O187" s="687"/>
      <c r="P187" s="687"/>
      <c r="Q187" s="687"/>
      <c r="R187" s="687"/>
      <c r="S187" s="687"/>
      <c r="T187" s="687"/>
      <c r="U187" s="687"/>
      <c r="V187" s="687"/>
      <c r="W187" s="687"/>
      <c r="X187" s="687"/>
      <c r="Y187" s="687"/>
      <c r="Z187" s="687"/>
      <c r="AA187" s="687"/>
      <c r="AB187" s="687"/>
      <c r="AC187" s="687"/>
      <c r="AD187" s="687"/>
      <c r="AE187" s="687"/>
      <c r="AF187" s="687"/>
      <c r="AG187" s="687"/>
      <c r="AH187" s="687"/>
      <c r="AI187" s="687"/>
      <c r="AJ187" s="687"/>
      <c r="AK187" s="687"/>
      <c r="AL187" s="687"/>
      <c r="AM187" s="687"/>
      <c r="AN187" s="687"/>
      <c r="AO187" s="687"/>
      <c r="AP187" s="687"/>
      <c r="AQ187" s="687"/>
      <c r="AR187" s="687"/>
      <c r="AS187" s="687"/>
      <c r="AT187" s="687"/>
      <c r="AU187" s="687"/>
      <c r="AV187" s="687"/>
      <c r="AW187" s="687"/>
      <c r="AX187" s="687"/>
      <c r="AY187" s="687"/>
      <c r="AZ187" s="687"/>
      <c r="BA187" s="687"/>
      <c r="BB187" s="687"/>
      <c r="BC187" s="687"/>
      <c r="BD187" s="687"/>
      <c r="BE187" s="687"/>
      <c r="BF187" s="687"/>
      <c r="BG187" s="687"/>
      <c r="BH187" s="687"/>
      <c r="BI187" s="687"/>
      <c r="BJ187" s="687"/>
      <c r="BK187" s="687"/>
      <c r="BL187" s="687"/>
      <c r="BM187" s="687"/>
      <c r="BN187" s="687"/>
      <c r="BO187" s="687"/>
      <c r="BP187" s="687"/>
      <c r="BQ187" s="687"/>
      <c r="BR187" s="687"/>
      <c r="BS187" s="687"/>
      <c r="BT187" s="687"/>
      <c r="BU187" s="687"/>
      <c r="BV187" s="687"/>
      <c r="BW187" s="687"/>
      <c r="BX187" s="687"/>
      <c r="BY187" s="687"/>
      <c r="BZ187" s="687"/>
      <c r="CA187" s="687"/>
      <c r="CB187" s="687"/>
      <c r="CC187" s="687"/>
      <c r="CD187" s="687"/>
      <c r="CE187" s="687"/>
      <c r="CF187" s="687"/>
      <c r="CG187" s="687"/>
      <c r="CH187" s="687"/>
      <c r="CI187" s="687"/>
      <c r="CJ187" s="687"/>
      <c r="CK187" s="687"/>
      <c r="CL187" s="687"/>
      <c r="CM187" s="687"/>
      <c r="CN187" s="687"/>
      <c r="CO187" s="687"/>
      <c r="CP187" s="687"/>
      <c r="CQ187" s="687"/>
      <c r="CR187" s="687"/>
      <c r="CS187" s="687"/>
      <c r="CT187" s="687"/>
      <c r="CU187" s="687"/>
      <c r="CV187" s="687"/>
      <c r="CW187" s="687"/>
      <c r="CX187" s="687"/>
      <c r="CY187" s="687"/>
      <c r="CZ187" s="687"/>
      <c r="DA187" s="687"/>
      <c r="DB187" s="687"/>
      <c r="DC187" s="687"/>
      <c r="DD187" s="687"/>
      <c r="DE187" s="687"/>
      <c r="DF187" s="687"/>
      <c r="DG187" s="687"/>
      <c r="DH187" s="687"/>
      <c r="DI187" s="687"/>
      <c r="DJ187" s="687"/>
      <c r="DK187" s="687"/>
      <c r="DL187" s="687"/>
      <c r="DM187" s="687"/>
      <c r="DN187" s="687"/>
      <c r="DO187" s="687"/>
      <c r="DP187" s="687"/>
      <c r="DQ187" s="687"/>
      <c r="DR187" s="687"/>
      <c r="DS187" s="687"/>
      <c r="DT187" s="687"/>
      <c r="DU187" s="687"/>
      <c r="DV187" s="687"/>
      <c r="DW187" s="575"/>
      <c r="DX187" s="575"/>
      <c r="DY187" s="575"/>
      <c r="DZ187" s="575"/>
      <c r="EA187" s="575"/>
      <c r="EB187" s="575"/>
      <c r="EC187" s="575"/>
      <c r="ED187" s="575"/>
      <c r="EE187" s="575"/>
      <c r="EF187" s="575"/>
      <c r="EG187" s="575"/>
      <c r="EH187" s="575"/>
      <c r="EI187" s="575"/>
      <c r="EJ187" s="575"/>
      <c r="EK187" s="575"/>
      <c r="EL187" s="575"/>
      <c r="EM187" s="575"/>
      <c r="EN187" s="575"/>
      <c r="EO187" s="575"/>
      <c r="EP187" s="575"/>
      <c r="EQ187" s="575"/>
      <c r="ER187" s="575"/>
      <c r="ES187" s="575"/>
    </row>
    <row r="188" spans="1:126" s="34" customFormat="1" ht="12.75" hidden="1">
      <c r="A188" s="56"/>
      <c r="B188" s="746"/>
      <c r="C188" s="58"/>
      <c r="D188" s="650"/>
      <c r="E188" s="25"/>
      <c r="F188" s="646"/>
      <c r="G188" s="646"/>
      <c r="H188" s="646"/>
      <c r="I188" s="646"/>
      <c r="J188" s="646"/>
      <c r="K188" s="646"/>
      <c r="L188" s="646"/>
      <c r="M188" s="646"/>
      <c r="N188" s="646"/>
      <c r="O188" s="646"/>
      <c r="P188" s="646"/>
      <c r="Q188" s="646"/>
      <c r="R188" s="646"/>
      <c r="S188" s="646"/>
      <c r="T188" s="646"/>
      <c r="U188" s="646"/>
      <c r="V188" s="646"/>
      <c r="W188" s="646"/>
      <c r="X188" s="646"/>
      <c r="Y188" s="646"/>
      <c r="Z188" s="646"/>
      <c r="AA188" s="646"/>
      <c r="AB188" s="646"/>
      <c r="AC188" s="646"/>
      <c r="AD188" s="646"/>
      <c r="AE188" s="646"/>
      <c r="AF188" s="646"/>
      <c r="AG188" s="646"/>
      <c r="AH188" s="646"/>
      <c r="AI188" s="646"/>
      <c r="AJ188" s="646"/>
      <c r="AK188" s="646"/>
      <c r="AL188" s="646"/>
      <c r="AM188" s="646"/>
      <c r="AN188" s="646"/>
      <c r="AO188" s="646"/>
      <c r="AP188" s="646"/>
      <c r="AQ188" s="646"/>
      <c r="AR188" s="646"/>
      <c r="AS188" s="646"/>
      <c r="AT188" s="646"/>
      <c r="AU188" s="646"/>
      <c r="AV188" s="646"/>
      <c r="AW188" s="646"/>
      <c r="AX188" s="646"/>
      <c r="AY188" s="646"/>
      <c r="AZ188" s="646"/>
      <c r="BA188" s="646"/>
      <c r="BB188" s="646"/>
      <c r="BC188" s="646"/>
      <c r="BD188" s="646"/>
      <c r="BE188" s="646"/>
      <c r="BF188" s="646"/>
      <c r="BG188" s="646"/>
      <c r="BH188" s="646"/>
      <c r="BI188" s="646"/>
      <c r="BJ188" s="646"/>
      <c r="BK188" s="646"/>
      <c r="BL188" s="646"/>
      <c r="BM188" s="646"/>
      <c r="BN188" s="646"/>
      <c r="BO188" s="646"/>
      <c r="BP188" s="646"/>
      <c r="BQ188" s="646"/>
      <c r="BR188" s="646"/>
      <c r="BS188" s="646"/>
      <c r="BT188" s="646"/>
      <c r="BU188" s="646"/>
      <c r="BV188" s="646"/>
      <c r="BW188" s="646"/>
      <c r="BX188" s="646"/>
      <c r="BY188" s="646"/>
      <c r="BZ188" s="646"/>
      <c r="CA188" s="646"/>
      <c r="CB188" s="646"/>
      <c r="CC188" s="646"/>
      <c r="CD188" s="646"/>
      <c r="CE188" s="646"/>
      <c r="CF188" s="646"/>
      <c r="CG188" s="646"/>
      <c r="CH188" s="646"/>
      <c r="CI188" s="646"/>
      <c r="CJ188" s="646"/>
      <c r="CK188" s="646"/>
      <c r="CL188" s="646"/>
      <c r="CM188" s="646"/>
      <c r="CN188" s="646"/>
      <c r="CO188" s="646"/>
      <c r="CP188" s="646"/>
      <c r="CQ188" s="646"/>
      <c r="CR188" s="646"/>
      <c r="CS188" s="646"/>
      <c r="CT188" s="646"/>
      <c r="CU188" s="646"/>
      <c r="CV188" s="646"/>
      <c r="CW188" s="646"/>
      <c r="CX188" s="646"/>
      <c r="CY188" s="646"/>
      <c r="CZ188" s="646"/>
      <c r="DA188" s="646"/>
      <c r="DB188" s="646"/>
      <c r="DC188" s="646"/>
      <c r="DD188" s="646"/>
      <c r="DE188" s="646"/>
      <c r="DF188" s="646"/>
      <c r="DG188" s="646"/>
      <c r="DH188" s="646"/>
      <c r="DI188" s="646"/>
      <c r="DJ188" s="646"/>
      <c r="DK188" s="646"/>
      <c r="DL188" s="646"/>
      <c r="DM188" s="646"/>
      <c r="DN188" s="646"/>
      <c r="DO188" s="646"/>
      <c r="DP188" s="646"/>
      <c r="DQ188" s="646"/>
      <c r="DR188" s="646"/>
      <c r="DS188" s="646"/>
      <c r="DT188" s="646"/>
      <c r="DU188" s="646"/>
      <c r="DV188" s="646"/>
    </row>
    <row r="189" spans="1:126" s="34" customFormat="1" ht="12.75" hidden="1">
      <c r="A189" s="56"/>
      <c r="B189" s="746"/>
      <c r="C189" s="58"/>
      <c r="D189" s="650"/>
      <c r="E189" s="25"/>
      <c r="F189" s="646"/>
      <c r="G189" s="646"/>
      <c r="H189" s="646"/>
      <c r="I189" s="646"/>
      <c r="J189" s="646"/>
      <c r="K189" s="646"/>
      <c r="L189" s="646"/>
      <c r="M189" s="646"/>
      <c r="N189" s="646"/>
      <c r="O189" s="646"/>
      <c r="P189" s="646"/>
      <c r="Q189" s="646"/>
      <c r="R189" s="646"/>
      <c r="S189" s="646"/>
      <c r="T189" s="646"/>
      <c r="U189" s="646"/>
      <c r="V189" s="646"/>
      <c r="W189" s="646"/>
      <c r="X189" s="646"/>
      <c r="Y189" s="646"/>
      <c r="Z189" s="646"/>
      <c r="AA189" s="646"/>
      <c r="AB189" s="646"/>
      <c r="AC189" s="646"/>
      <c r="AD189" s="646"/>
      <c r="AE189" s="646"/>
      <c r="AF189" s="646"/>
      <c r="AG189" s="646"/>
      <c r="AH189" s="646"/>
      <c r="AI189" s="646"/>
      <c r="AJ189" s="646"/>
      <c r="AK189" s="646"/>
      <c r="AL189" s="646"/>
      <c r="AM189" s="646"/>
      <c r="AN189" s="646"/>
      <c r="AO189" s="646"/>
      <c r="AP189" s="646"/>
      <c r="AQ189" s="646"/>
      <c r="AR189" s="646"/>
      <c r="AS189" s="646"/>
      <c r="AT189" s="646"/>
      <c r="AU189" s="646"/>
      <c r="AV189" s="646"/>
      <c r="AW189" s="646"/>
      <c r="AX189" s="646"/>
      <c r="AY189" s="646"/>
      <c r="AZ189" s="646"/>
      <c r="BA189" s="646"/>
      <c r="BB189" s="646"/>
      <c r="BC189" s="646"/>
      <c r="BD189" s="646"/>
      <c r="BE189" s="646"/>
      <c r="BF189" s="646"/>
      <c r="BG189" s="646"/>
      <c r="BH189" s="646"/>
      <c r="BI189" s="646"/>
      <c r="BJ189" s="646"/>
      <c r="BK189" s="646"/>
      <c r="BL189" s="646"/>
      <c r="BM189" s="646"/>
      <c r="BN189" s="646"/>
      <c r="BO189" s="646"/>
      <c r="BP189" s="646"/>
      <c r="BQ189" s="646"/>
      <c r="BR189" s="646"/>
      <c r="BS189" s="646"/>
      <c r="BT189" s="646"/>
      <c r="BU189" s="646"/>
      <c r="BV189" s="646"/>
      <c r="BW189" s="646"/>
      <c r="BX189" s="646"/>
      <c r="BY189" s="646"/>
      <c r="BZ189" s="646"/>
      <c r="CA189" s="646"/>
      <c r="CB189" s="646"/>
      <c r="CC189" s="646"/>
      <c r="CD189" s="646"/>
      <c r="CE189" s="646"/>
      <c r="CF189" s="646"/>
      <c r="CG189" s="646"/>
      <c r="CH189" s="646"/>
      <c r="CI189" s="646"/>
      <c r="CJ189" s="646"/>
      <c r="CK189" s="646"/>
      <c r="CL189" s="646"/>
      <c r="CM189" s="646"/>
      <c r="CN189" s="646"/>
      <c r="CO189" s="646"/>
      <c r="CP189" s="646"/>
      <c r="CQ189" s="646"/>
      <c r="CR189" s="646"/>
      <c r="CS189" s="646"/>
      <c r="CT189" s="646"/>
      <c r="CU189" s="646"/>
      <c r="CV189" s="646"/>
      <c r="CW189" s="646"/>
      <c r="CX189" s="646"/>
      <c r="CY189" s="646"/>
      <c r="CZ189" s="646"/>
      <c r="DA189" s="646"/>
      <c r="DB189" s="646"/>
      <c r="DC189" s="646"/>
      <c r="DD189" s="646"/>
      <c r="DE189" s="646"/>
      <c r="DF189" s="646"/>
      <c r="DG189" s="646"/>
      <c r="DH189" s="646"/>
      <c r="DI189" s="646"/>
      <c r="DJ189" s="646"/>
      <c r="DK189" s="646"/>
      <c r="DL189" s="646"/>
      <c r="DM189" s="646"/>
      <c r="DN189" s="646"/>
      <c r="DO189" s="646"/>
      <c r="DP189" s="646"/>
      <c r="DQ189" s="646"/>
      <c r="DR189" s="646"/>
      <c r="DS189" s="646"/>
      <c r="DT189" s="646"/>
      <c r="DU189" s="646"/>
      <c r="DV189" s="646"/>
    </row>
    <row r="190" spans="1:126" s="575" customFormat="1" ht="12.75" hidden="1">
      <c r="A190" s="56"/>
      <c r="B190" s="746"/>
      <c r="C190" s="573"/>
      <c r="D190" s="651"/>
      <c r="E190" s="574"/>
      <c r="F190" s="647"/>
      <c r="G190" s="647"/>
      <c r="H190" s="647"/>
      <c r="I190" s="647"/>
      <c r="J190" s="647"/>
      <c r="K190" s="647"/>
      <c r="L190" s="647"/>
      <c r="M190" s="647"/>
      <c r="N190" s="647"/>
      <c r="O190" s="647"/>
      <c r="P190" s="647"/>
      <c r="Q190" s="647"/>
      <c r="R190" s="647"/>
      <c r="S190" s="647"/>
      <c r="T190" s="647"/>
      <c r="U190" s="647"/>
      <c r="V190" s="647"/>
      <c r="W190" s="647"/>
      <c r="X190" s="647"/>
      <c r="Y190" s="647"/>
      <c r="Z190" s="647"/>
      <c r="AA190" s="647"/>
      <c r="AB190" s="647"/>
      <c r="AC190" s="647"/>
      <c r="AD190" s="647"/>
      <c r="AE190" s="647"/>
      <c r="AF190" s="647"/>
      <c r="AG190" s="647"/>
      <c r="AH190" s="647"/>
      <c r="AI190" s="647"/>
      <c r="AJ190" s="647"/>
      <c r="AK190" s="647"/>
      <c r="AL190" s="647"/>
      <c r="AM190" s="647"/>
      <c r="AN190" s="647"/>
      <c r="AO190" s="647"/>
      <c r="AP190" s="647"/>
      <c r="AQ190" s="647"/>
      <c r="AR190" s="647"/>
      <c r="AS190" s="647"/>
      <c r="AT190" s="647"/>
      <c r="AU190" s="647"/>
      <c r="AV190" s="647"/>
      <c r="AW190" s="647"/>
      <c r="AX190" s="647"/>
      <c r="AY190" s="647"/>
      <c r="AZ190" s="647"/>
      <c r="BA190" s="647"/>
      <c r="BB190" s="647"/>
      <c r="BC190" s="647"/>
      <c r="BD190" s="647"/>
      <c r="BE190" s="647"/>
      <c r="BF190" s="647"/>
      <c r="BG190" s="647"/>
      <c r="BH190" s="647"/>
      <c r="BI190" s="647"/>
      <c r="BJ190" s="647"/>
      <c r="BK190" s="647"/>
      <c r="BL190" s="647"/>
      <c r="BM190" s="647"/>
      <c r="BN190" s="647"/>
      <c r="BO190" s="647"/>
      <c r="BP190" s="647"/>
      <c r="BQ190" s="647"/>
      <c r="BR190" s="647"/>
      <c r="BS190" s="647"/>
      <c r="BT190" s="647"/>
      <c r="BU190" s="647"/>
      <c r="BV190" s="647"/>
      <c r="BW190" s="647"/>
      <c r="BX190" s="647"/>
      <c r="BY190" s="647"/>
      <c r="BZ190" s="647"/>
      <c r="CA190" s="647"/>
      <c r="CB190" s="647"/>
      <c r="CC190" s="647"/>
      <c r="CD190" s="647"/>
      <c r="CE190" s="647"/>
      <c r="CF190" s="647"/>
      <c r="CG190" s="647"/>
      <c r="CH190" s="647"/>
      <c r="CI190" s="647"/>
      <c r="CJ190" s="647"/>
      <c r="CK190" s="647"/>
      <c r="CL190" s="647"/>
      <c r="CM190" s="647"/>
      <c r="CN190" s="647"/>
      <c r="CO190" s="647"/>
      <c r="CP190" s="647"/>
      <c r="CQ190" s="647"/>
      <c r="CR190" s="647"/>
      <c r="CS190" s="647"/>
      <c r="CT190" s="647"/>
      <c r="CU190" s="647"/>
      <c r="CV190" s="647"/>
      <c r="CW190" s="647"/>
      <c r="CX190" s="647"/>
      <c r="CY190" s="647"/>
      <c r="CZ190" s="647"/>
      <c r="DA190" s="647"/>
      <c r="DB190" s="647"/>
      <c r="DC190" s="647"/>
      <c r="DD190" s="647"/>
      <c r="DE190" s="647"/>
      <c r="DF190" s="647"/>
      <c r="DG190" s="647"/>
      <c r="DH190" s="647"/>
      <c r="DI190" s="647"/>
      <c r="DJ190" s="647"/>
      <c r="DK190" s="647"/>
      <c r="DL190" s="647"/>
      <c r="DM190" s="647"/>
      <c r="DN190" s="647"/>
      <c r="DO190" s="647"/>
      <c r="DP190" s="647"/>
      <c r="DQ190" s="647"/>
      <c r="DR190" s="647"/>
      <c r="DS190" s="647"/>
      <c r="DT190" s="647"/>
      <c r="DU190" s="647"/>
      <c r="DV190" s="647"/>
    </row>
    <row r="191" spans="1:126" s="34" customFormat="1" ht="12.75" hidden="1">
      <c r="A191" s="56"/>
      <c r="B191" s="746"/>
      <c r="C191" s="58"/>
      <c r="D191" s="194"/>
      <c r="E191" s="25"/>
      <c r="F191" s="646"/>
      <c r="G191" s="646"/>
      <c r="H191" s="646"/>
      <c r="I191" s="646"/>
      <c r="J191" s="646"/>
      <c r="K191" s="646"/>
      <c r="L191" s="646"/>
      <c r="M191" s="646"/>
      <c r="N191" s="646"/>
      <c r="O191" s="646"/>
      <c r="P191" s="646"/>
      <c r="Q191" s="646"/>
      <c r="R191" s="646"/>
      <c r="S191" s="646"/>
      <c r="T191" s="646"/>
      <c r="U191" s="646"/>
      <c r="V191" s="646"/>
      <c r="W191" s="646"/>
      <c r="X191" s="646"/>
      <c r="Y191" s="646"/>
      <c r="Z191" s="646"/>
      <c r="AA191" s="646"/>
      <c r="AB191" s="646"/>
      <c r="AC191" s="646"/>
      <c r="AD191" s="646"/>
      <c r="AE191" s="646"/>
      <c r="AF191" s="646"/>
      <c r="AG191" s="646"/>
      <c r="AH191" s="646"/>
      <c r="AI191" s="646"/>
      <c r="AJ191" s="646"/>
      <c r="AK191" s="646"/>
      <c r="AL191" s="646"/>
      <c r="AM191" s="646"/>
      <c r="AN191" s="646"/>
      <c r="AO191" s="646"/>
      <c r="AP191" s="646"/>
      <c r="AQ191" s="646"/>
      <c r="AR191" s="646"/>
      <c r="AS191" s="646"/>
      <c r="AT191" s="646"/>
      <c r="AU191" s="646"/>
      <c r="AV191" s="646"/>
      <c r="AW191" s="646"/>
      <c r="AX191" s="646"/>
      <c r="AY191" s="646"/>
      <c r="AZ191" s="646"/>
      <c r="BA191" s="646"/>
      <c r="BB191" s="646"/>
      <c r="BC191" s="646"/>
      <c r="BD191" s="646"/>
      <c r="BE191" s="646"/>
      <c r="BF191" s="646"/>
      <c r="BG191" s="646"/>
      <c r="BH191" s="646"/>
      <c r="BI191" s="646"/>
      <c r="BJ191" s="646"/>
      <c r="BK191" s="646"/>
      <c r="BL191" s="646"/>
      <c r="BM191" s="646"/>
      <c r="BN191" s="646"/>
      <c r="BO191" s="646"/>
      <c r="BP191" s="646"/>
      <c r="BQ191" s="646"/>
      <c r="BR191" s="646"/>
      <c r="BS191" s="646"/>
      <c r="BT191" s="646"/>
      <c r="BU191" s="646"/>
      <c r="BV191" s="646"/>
      <c r="BW191" s="646"/>
      <c r="BX191" s="646"/>
      <c r="BY191" s="646"/>
      <c r="BZ191" s="646"/>
      <c r="CA191" s="646"/>
      <c r="CB191" s="646"/>
      <c r="CC191" s="646"/>
      <c r="CD191" s="646"/>
      <c r="CE191" s="646"/>
      <c r="CF191" s="646"/>
      <c r="CG191" s="646"/>
      <c r="CH191" s="646"/>
      <c r="CI191" s="646"/>
      <c r="CJ191" s="646"/>
      <c r="CK191" s="646"/>
      <c r="CL191" s="646"/>
      <c r="CM191" s="646"/>
      <c r="CN191" s="646"/>
      <c r="CO191" s="646"/>
      <c r="CP191" s="646"/>
      <c r="CQ191" s="646"/>
      <c r="CR191" s="646"/>
      <c r="CS191" s="646"/>
      <c r="CT191" s="646"/>
      <c r="CU191" s="646"/>
      <c r="CV191" s="646"/>
      <c r="CW191" s="646"/>
      <c r="CX191" s="646"/>
      <c r="CY191" s="646"/>
      <c r="CZ191" s="646"/>
      <c r="DA191" s="646"/>
      <c r="DB191" s="646"/>
      <c r="DC191" s="646"/>
      <c r="DD191" s="646"/>
      <c r="DE191" s="646"/>
      <c r="DF191" s="646"/>
      <c r="DG191" s="646"/>
      <c r="DH191" s="646"/>
      <c r="DI191" s="646"/>
      <c r="DJ191" s="646"/>
      <c r="DK191" s="646"/>
      <c r="DL191" s="646"/>
      <c r="DM191" s="646"/>
      <c r="DN191" s="646"/>
      <c r="DO191" s="646"/>
      <c r="DP191" s="646"/>
      <c r="DQ191" s="646"/>
      <c r="DR191" s="646"/>
      <c r="DS191" s="646"/>
      <c r="DT191" s="646"/>
      <c r="DU191" s="646"/>
      <c r="DV191" s="646"/>
    </row>
    <row r="192" spans="1:126" s="34" customFormat="1" ht="12.75" hidden="1">
      <c r="A192" s="56"/>
      <c r="B192" s="746"/>
      <c r="C192" s="58"/>
      <c r="D192" s="194"/>
      <c r="E192" s="25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</row>
    <row r="193" spans="1:126" s="34" customFormat="1" ht="12.75" hidden="1">
      <c r="A193" s="56"/>
      <c r="B193" s="746"/>
      <c r="C193" s="58"/>
      <c r="D193" s="194"/>
      <c r="E193" s="25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</row>
    <row r="194" spans="1:126" ht="12.75" hidden="1">
      <c r="A194" s="56"/>
      <c r="B194" s="746"/>
      <c r="D194" s="194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0"/>
      <c r="BQ194" s="190"/>
      <c r="BR194" s="190"/>
      <c r="BS194" s="190"/>
      <c r="BT194" s="190"/>
      <c r="BU194" s="190"/>
      <c r="BV194" s="190"/>
      <c r="BW194" s="190"/>
      <c r="BX194" s="190"/>
      <c r="BY194" s="190"/>
      <c r="BZ194" s="190"/>
      <c r="CA194" s="190"/>
      <c r="CB194" s="190"/>
      <c r="CC194" s="190"/>
      <c r="CD194" s="190"/>
      <c r="CE194" s="190"/>
      <c r="CF194" s="190"/>
      <c r="CG194" s="190"/>
      <c r="CH194" s="190"/>
      <c r="CI194" s="190"/>
      <c r="CJ194" s="190"/>
      <c r="CK194" s="190"/>
      <c r="CL194" s="190"/>
      <c r="CM194" s="190"/>
      <c r="CN194" s="190"/>
      <c r="CO194" s="190"/>
      <c r="CP194" s="190"/>
      <c r="CQ194" s="190"/>
      <c r="CR194" s="190"/>
      <c r="CS194" s="190"/>
      <c r="CT194" s="190"/>
      <c r="CU194" s="190"/>
      <c r="CV194" s="190"/>
      <c r="CW194" s="190"/>
      <c r="CX194" s="190"/>
      <c r="CY194" s="190"/>
      <c r="CZ194" s="190"/>
      <c r="DA194" s="190"/>
      <c r="DB194" s="190"/>
      <c r="DC194" s="190"/>
      <c r="DD194" s="190"/>
      <c r="DE194" s="190"/>
      <c r="DF194" s="190"/>
      <c r="DG194" s="190"/>
      <c r="DH194" s="190"/>
      <c r="DI194" s="190"/>
      <c r="DJ194" s="190"/>
      <c r="DK194" s="190"/>
      <c r="DL194" s="190"/>
      <c r="DM194" s="190"/>
      <c r="DN194" s="190"/>
      <c r="DO194" s="190"/>
      <c r="DP194" s="190"/>
      <c r="DQ194" s="190"/>
      <c r="DR194" s="190"/>
      <c r="DS194" s="190"/>
      <c r="DT194" s="190"/>
      <c r="DU194" s="190"/>
      <c r="DV194" s="190"/>
    </row>
    <row r="195" spans="1:2" ht="12.75" hidden="1">
      <c r="A195" s="56"/>
      <c r="B195" s="78"/>
    </row>
    <row r="196" ht="12.75" hidden="1">
      <c r="B196" s="78"/>
    </row>
    <row r="197" spans="1:2" ht="12.75">
      <c r="A197" s="56"/>
      <c r="B197" s="78"/>
    </row>
    <row r="198" ht="12.75">
      <c r="B198" s="78"/>
    </row>
    <row r="199" spans="1:2" ht="12.75">
      <c r="A199" s="56"/>
      <c r="B199" s="78"/>
    </row>
    <row r="200" ht="12.75">
      <c r="B200" s="78"/>
    </row>
    <row r="201" spans="1:2" ht="12.75">
      <c r="A201" s="56"/>
      <c r="B201" s="78"/>
    </row>
    <row r="202" ht="12.75">
      <c r="B202" s="78"/>
    </row>
    <row r="203" spans="1:2" ht="12.75">
      <c r="A203" s="56"/>
      <c r="B203" s="78"/>
    </row>
    <row r="204" ht="12.75">
      <c r="B204" s="78"/>
    </row>
    <row r="205" spans="1:2" ht="12.75">
      <c r="A205" s="56"/>
      <c r="B205" s="78"/>
    </row>
    <row r="206" ht="12.75">
      <c r="B206" s="78"/>
    </row>
    <row r="207" spans="1:2" ht="12.75">
      <c r="A207" s="56"/>
      <c r="B207" s="78"/>
    </row>
    <row r="208" ht="12.75">
      <c r="B208" s="78"/>
    </row>
    <row r="209" spans="1:2" ht="12.75">
      <c r="A209" s="56"/>
      <c r="B209" s="78"/>
    </row>
    <row r="210" ht="12.75">
      <c r="B210" s="78"/>
    </row>
    <row r="211" spans="1:2" ht="12.75">
      <c r="A211" s="56"/>
      <c r="B211" s="78"/>
    </row>
    <row r="212" ht="12.75">
      <c r="B212" s="78"/>
    </row>
    <row r="213" spans="1:2" ht="12.75">
      <c r="A213" s="56"/>
      <c r="B213" s="78"/>
    </row>
    <row r="422" ht="12.75"/>
  </sheetData>
  <sheetProtection password="C03D" sheet="1"/>
  <mergeCells count="27">
    <mergeCell ref="N12:P12"/>
    <mergeCell ref="N9:P9"/>
    <mergeCell ref="N5:P5"/>
    <mergeCell ref="N6:P6"/>
    <mergeCell ref="N7:P7"/>
    <mergeCell ref="N8:P8"/>
    <mergeCell ref="N10:P10"/>
    <mergeCell ref="N11:P11"/>
    <mergeCell ref="H6:J6"/>
    <mergeCell ref="D7:F7"/>
    <mergeCell ref="H7:J7"/>
    <mergeCell ref="D15:F15"/>
    <mergeCell ref="D8:F8"/>
    <mergeCell ref="H8:J8"/>
    <mergeCell ref="D9:F9"/>
    <mergeCell ref="H9:J9"/>
    <mergeCell ref="D11:F11"/>
    <mergeCell ref="D12:F12"/>
    <mergeCell ref="D21:F21"/>
    <mergeCell ref="D16:F16"/>
    <mergeCell ref="D17:F17"/>
    <mergeCell ref="D18:F18"/>
    <mergeCell ref="D19:F19"/>
    <mergeCell ref="D5:F5"/>
    <mergeCell ref="D6:F6"/>
    <mergeCell ref="D13:F13"/>
    <mergeCell ref="D14:F14"/>
  </mergeCells>
  <printOptions/>
  <pageMargins left="0.75" right="0.75" top="1" bottom="1" header="0.5118055555555556" footer="0.5118055555555556"/>
  <pageSetup horizontalDpi="300" verticalDpi="300" orientation="landscape" paperSize="9" scale="75" r:id="rId3"/>
  <headerFooter alignWithMargins="0"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5:AL54"/>
  <sheetViews>
    <sheetView zoomScalePageLayoutView="0" workbookViewId="0" topLeftCell="IV25">
      <selection activeCell="A25" sqref="A25"/>
    </sheetView>
  </sheetViews>
  <sheetFormatPr defaultColWidth="0" defaultRowHeight="12.75"/>
  <cols>
    <col min="1" max="37" width="0" style="250" hidden="1" customWidth="1"/>
    <col min="38" max="38" width="0" style="251" hidden="1" customWidth="1"/>
    <col min="39" max="16384" width="0" style="250" hidden="1" customWidth="1"/>
  </cols>
  <sheetData>
    <row r="15" spans="1:35" ht="15.75">
      <c r="A15" s="305" t="s">
        <v>216</v>
      </c>
      <c r="B15" s="240"/>
      <c r="C15" s="240"/>
      <c r="D15" s="240"/>
      <c r="E15" s="240"/>
      <c r="F15" s="240"/>
      <c r="G15" s="1164" t="s">
        <v>217</v>
      </c>
      <c r="H15" s="1164"/>
      <c r="I15" s="307" t="s">
        <v>134</v>
      </c>
      <c r="J15" s="1165" t="s">
        <v>218</v>
      </c>
      <c r="K15" s="1165"/>
      <c r="L15" s="1165"/>
      <c r="M15" s="243" t="s">
        <v>135</v>
      </c>
      <c r="N15" s="306" t="s">
        <v>219</v>
      </c>
      <c r="O15" s="308" t="s">
        <v>161</v>
      </c>
      <c r="P15" s="240"/>
      <c r="Q15" s="1164" t="s">
        <v>217</v>
      </c>
      <c r="R15" s="1164"/>
      <c r="S15" s="308" t="s">
        <v>134</v>
      </c>
      <c r="T15" s="1164" t="s">
        <v>220</v>
      </c>
      <c r="U15" s="1164"/>
      <c r="V15" s="1164"/>
      <c r="W15" s="243" t="s">
        <v>135</v>
      </c>
      <c r="X15" s="306" t="s">
        <v>221</v>
      </c>
      <c r="Y15" s="308" t="s">
        <v>162</v>
      </c>
      <c r="Z15" s="240"/>
      <c r="AA15" s="309"/>
      <c r="AC15" s="250">
        <f>IF(G15="",0,1)</f>
        <v>1</v>
      </c>
      <c r="AD15" s="250">
        <f>IF(J15="",0,1)</f>
        <v>1</v>
      </c>
      <c r="AE15" s="250">
        <f>IF(N15="",0,1)</f>
        <v>1</v>
      </c>
      <c r="AF15" s="250">
        <f>IF(Q15="",0,1)</f>
        <v>1</v>
      </c>
      <c r="AG15" s="250">
        <f>IF(T15="",0,1)</f>
        <v>1</v>
      </c>
      <c r="AH15" s="250">
        <f>IF(X15="",0,1)</f>
        <v>1</v>
      </c>
      <c r="AI15" s="250">
        <f>SUM(AC15:AH15)</f>
        <v>6</v>
      </c>
    </row>
    <row r="16" spans="1:32" ht="10.5" customHeight="1">
      <c r="A16" s="310"/>
      <c r="B16" s="311"/>
      <c r="C16" s="311"/>
      <c r="D16" s="311"/>
      <c r="E16" s="311"/>
      <c r="F16" s="312"/>
      <c r="G16" s="313"/>
      <c r="H16" s="314"/>
      <c r="I16" s="315"/>
      <c r="J16" s="313"/>
      <c r="K16" s="313"/>
      <c r="L16" s="313"/>
      <c r="M16" s="316"/>
      <c r="N16" s="313"/>
      <c r="O16" s="317"/>
      <c r="P16" s="312"/>
      <c r="Q16" s="313"/>
      <c r="R16" s="314"/>
      <c r="S16" s="317"/>
      <c r="T16" s="313"/>
      <c r="U16" s="313"/>
      <c r="V16" s="313"/>
      <c r="W16" s="316"/>
      <c r="X16" s="313"/>
      <c r="Y16" s="317"/>
      <c r="Z16" s="312"/>
      <c r="AA16" s="318"/>
      <c r="AF16" s="250">
        <f>IF(AND(AC16=0,AD16=0),1,0)</f>
        <v>1</v>
      </c>
    </row>
    <row r="17" spans="23:34" ht="14.25" customHeight="1">
      <c r="W17" s="319"/>
      <c r="X17" s="319"/>
      <c r="Y17" s="319"/>
      <c r="Z17" s="319"/>
      <c r="AA17" s="320"/>
      <c r="AF17" s="250">
        <f>IF(AND('1. oldal'!AI57=1,'1. oldal'!AJ57=1),1,0)</f>
        <v>0</v>
      </c>
      <c r="AH17" s="250">
        <f>IF(OR(AF17=1,'1. oldal'!AK58=1),1,0)</f>
        <v>1</v>
      </c>
    </row>
    <row r="18" spans="23:27" ht="21" customHeight="1">
      <c r="W18" s="240"/>
      <c r="X18" s="240"/>
      <c r="Y18" s="240"/>
      <c r="Z18" s="240"/>
      <c r="AA18" s="309"/>
    </row>
    <row r="19" spans="23:27" ht="9" customHeight="1">
      <c r="W19" s="240"/>
      <c r="X19" s="240"/>
      <c r="Y19" s="240"/>
      <c r="Z19" s="240"/>
      <c r="AA19" s="309"/>
    </row>
    <row r="20" spans="23:27" ht="21" customHeight="1">
      <c r="W20" s="240"/>
      <c r="X20" s="240"/>
      <c r="Y20" s="240"/>
      <c r="Z20" s="240"/>
      <c r="AA20" s="309"/>
    </row>
    <row r="21" spans="23:27" ht="15">
      <c r="W21" s="240"/>
      <c r="X21" s="240"/>
      <c r="Y21" s="240"/>
      <c r="Z21" s="240"/>
      <c r="AA21" s="309"/>
    </row>
    <row r="22" spans="1:27" ht="6.75" customHeight="1">
      <c r="A22" s="310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8"/>
    </row>
    <row r="23" ht="15" hidden="1"/>
    <row r="24" spans="1:27" ht="15.75">
      <c r="A24" s="321" t="s">
        <v>222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19"/>
      <c r="Y24" s="319"/>
      <c r="Z24" s="319"/>
      <c r="AA24" s="320"/>
    </row>
    <row r="25" spans="1:27" ht="15">
      <c r="A25" s="1162" t="s">
        <v>223</v>
      </c>
      <c r="B25" s="1162"/>
      <c r="C25" s="1162"/>
      <c r="D25" s="1162"/>
      <c r="E25" s="1162"/>
      <c r="F25" s="1162"/>
      <c r="G25" s="1162"/>
      <c r="H25" s="1162"/>
      <c r="I25" s="1162"/>
      <c r="J25" s="1162"/>
      <c r="K25" s="1162"/>
      <c r="L25" s="1162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</row>
    <row r="26" spans="1:27" ht="15">
      <c r="A26" s="323" t="s">
        <v>224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309"/>
    </row>
    <row r="27" spans="1:38" ht="15.75">
      <c r="A27" s="323" t="s">
        <v>225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324">
        <f>IF(alapadatok!D160="X","X","")</f>
      </c>
      <c r="AC27" s="250">
        <f>IF(AA27="x",1,0)</f>
        <v>0</v>
      </c>
      <c r="AE27" s="325"/>
      <c r="AF27" s="326"/>
      <c r="AJ27" s="326">
        <f>H28</f>
      </c>
      <c r="AK27" s="326"/>
      <c r="AL27" s="327"/>
    </row>
    <row r="28" spans="1:29" ht="15">
      <c r="A28" s="323"/>
      <c r="B28" s="240"/>
      <c r="C28" s="240"/>
      <c r="D28" s="240"/>
      <c r="E28" s="240"/>
      <c r="F28" s="240"/>
      <c r="G28" s="240"/>
      <c r="H28" s="1163">
        <f>IF(AA27="x","Átalányadó ? (igen=1)","")</f>
      </c>
      <c r="I28" s="1163"/>
      <c r="J28" s="1163"/>
      <c r="K28" s="1163"/>
      <c r="L28" s="1163"/>
      <c r="M28" s="1163"/>
      <c r="N28" s="1163"/>
      <c r="O28" s="240"/>
      <c r="P28" s="328">
        <f>IF(AL27=1,1,"")</f>
      </c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309"/>
      <c r="AC28" s="250">
        <f>IF(P28=1,1,0)</f>
        <v>0</v>
      </c>
    </row>
    <row r="29" spans="1:27" ht="15">
      <c r="A29" s="329" t="s">
        <v>226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309"/>
    </row>
    <row r="30" spans="1:27" ht="15">
      <c r="A30" s="323" t="s">
        <v>227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309"/>
    </row>
    <row r="31" spans="1:27" ht="15">
      <c r="A31" s="323" t="s">
        <v>228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309"/>
    </row>
    <row r="32" spans="1:29" ht="15.75">
      <c r="A32" s="323" t="s">
        <v>229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324">
        <f>IF(alapadatok!D162="X","X","")</f>
      </c>
      <c r="AC32" s="250">
        <f>IF(AA32="x",1,0)</f>
        <v>0</v>
      </c>
    </row>
    <row r="33" spans="1:29" ht="15">
      <c r="A33" s="323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309"/>
      <c r="AC33" s="250">
        <f>AC27+AC28+AC35</f>
        <v>0</v>
      </c>
    </row>
    <row r="34" spans="1:27" ht="15">
      <c r="A34" s="329" t="s">
        <v>230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309"/>
    </row>
    <row r="35" spans="1:32" ht="15">
      <c r="A35" s="323" t="s">
        <v>231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C35" s="250">
        <f>IF('1. oldal'!C105="x",1,0)</f>
        <v>0</v>
      </c>
      <c r="AD35" s="250">
        <f>AC27+AC35</f>
        <v>0</v>
      </c>
      <c r="AE35" s="325"/>
      <c r="AF35" s="326"/>
    </row>
    <row r="36" spans="1:27" ht="15">
      <c r="A36" s="323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309"/>
    </row>
    <row r="37" spans="1:27" ht="15">
      <c r="A37" s="329" t="s">
        <v>232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309"/>
    </row>
    <row r="38" spans="1:30" ht="15">
      <c r="A38" s="310" t="s">
        <v>233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C38" s="250">
        <f>IF('1. oldal'!C108="x",1,0)</f>
        <v>0</v>
      </c>
      <c r="AD38" s="250">
        <f>AC32+AC38</f>
        <v>0</v>
      </c>
    </row>
    <row r="40" spans="1:27" ht="15">
      <c r="A40" s="330" t="s">
        <v>234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20"/>
    </row>
    <row r="41" spans="1:27" ht="12" customHeight="1">
      <c r="A41" s="329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309"/>
    </row>
    <row r="42" spans="1:29" ht="15.75">
      <c r="A42" s="323"/>
      <c r="B42" s="240" t="s">
        <v>58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324">
        <f>IF(alapadatok!D167="X","X","")</f>
      </c>
      <c r="AC42" s="250">
        <f>IF(AA42="x",1,0)</f>
        <v>0</v>
      </c>
    </row>
    <row r="43" spans="1:29" ht="15.75">
      <c r="A43" s="323"/>
      <c r="B43" s="240" t="s">
        <v>59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324" t="str">
        <f>IF(alapadatok!D168="X","X","")</f>
        <v>X</v>
      </c>
      <c r="AC43" s="250">
        <f>IF(AA43="x",1,0)</f>
        <v>1</v>
      </c>
    </row>
    <row r="44" spans="1:29" ht="15.75">
      <c r="A44" s="323"/>
      <c r="B44" s="240" t="s">
        <v>60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324">
        <f>IF(alapadatok!D169="X","X","")</f>
      </c>
      <c r="AC44" s="250">
        <f>IF(AA44="x",1,0)</f>
        <v>0</v>
      </c>
    </row>
    <row r="45" spans="1:29" ht="15.75">
      <c r="A45" s="323"/>
      <c r="B45" s="240" t="s">
        <v>61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324">
        <f>IF(alapadatok!D170="X","X","")</f>
      </c>
      <c r="AC45" s="250">
        <f>IF(AA45="x",1,0)</f>
        <v>0</v>
      </c>
    </row>
    <row r="46" spans="1:29" ht="13.5" customHeight="1">
      <c r="A46" s="331"/>
      <c r="B46" s="332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2"/>
      <c r="Z46" s="312"/>
      <c r="AA46" s="333"/>
      <c r="AC46" s="250">
        <f>SUM(AC42:AC45)</f>
        <v>1</v>
      </c>
    </row>
    <row r="47" spans="1:27" ht="11.25" customHeight="1">
      <c r="A47" s="298"/>
      <c r="B47" s="235"/>
      <c r="Y47" s="258"/>
      <c r="Z47" s="258"/>
      <c r="AA47" s="258"/>
    </row>
    <row r="48" spans="1:27" ht="11.25" customHeight="1">
      <c r="A48" s="298"/>
      <c r="B48" s="235"/>
      <c r="Y48" s="258"/>
      <c r="Z48" s="258"/>
      <c r="AA48" s="258"/>
    </row>
    <row r="49" spans="1:2" ht="11.25" customHeight="1">
      <c r="A49" s="298"/>
      <c r="B49" s="235">
        <f>IF(AI15=6,"","  Hiba  4.  Pont: A bevallás időszakát pontosan és hiánytalanul adja meg!")</f>
      </c>
    </row>
    <row r="50" spans="1:2" ht="11.25" customHeight="1">
      <c r="A50" s="298"/>
      <c r="B50" s="235">
        <f>IF(AND(P28=1,AC27=0),"  Hiba  6.1. pont: Csak akkor írjon be 1-est, ha egyszerűsített módot kiválasztotta!","")</f>
      </c>
    </row>
    <row r="51" spans="1:2" ht="11.25" customHeight="1">
      <c r="A51" s="298">
        <f>IF(B51="",0,1)</f>
        <v>0</v>
      </c>
      <c r="B51" s="235">
        <f>IF(AD35=2,"  Hiba  6. Pont: Egyszerre nem lehet 6.1-et és a 6.3-t megjelölni!","")</f>
      </c>
    </row>
    <row r="52" spans="1:2" ht="11.25" customHeight="1">
      <c r="A52" s="298"/>
      <c r="B52" s="235">
        <f>IF(AD38=2,"  Hiba  6. Pont: Egyszerre nem lehet 6.2-et és a 6.4-t megjelölni!","")</f>
      </c>
    </row>
    <row r="53" spans="1:2" ht="11.25" customHeight="1">
      <c r="A53" s="298"/>
      <c r="B53" s="235">
        <f>IF(AC46=1,"","  Hiba  7. Pont: Csak egyet választhat! / Legalább egyet választani kell!")</f>
      </c>
    </row>
    <row r="54" spans="1:27" ht="15.75">
      <c r="A54" s="298">
        <f>SUM(A46:A53)</f>
        <v>0</v>
      </c>
      <c r="B54" s="301" t="str">
        <f>IF(A54=0,"E L L E N Ő R Z Ö T T","   H I B Á S")</f>
        <v>E L L E N Ő R Z Ö T T</v>
      </c>
      <c r="J54" s="334" t="str">
        <f>'1. oldal'!M131</f>
        <v> VAN HIBÁS LAP !</v>
      </c>
      <c r="AA54" s="335">
        <f>IF(B54="E L L E N Ő R Z Ö T T",0,1)</f>
        <v>0</v>
      </c>
    </row>
  </sheetData>
  <sheetProtection sheet="1" objects="1" scenarios="1"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31"/>
  <sheetViews>
    <sheetView showGridLines="0" view="pageBreakPreview" zoomScaleSheetLayoutView="100" zoomScalePageLayoutView="0" workbookViewId="0" topLeftCell="A11">
      <selection activeCell="P86" sqref="P86:W86"/>
    </sheetView>
  </sheetViews>
  <sheetFormatPr defaultColWidth="9.140625" defaultRowHeight="12.75"/>
  <cols>
    <col min="1" max="1" width="3.140625" style="201" customWidth="1"/>
    <col min="2" max="2" width="3.57421875" style="202" customWidth="1"/>
    <col min="3" max="3" width="2.8515625" style="202" customWidth="1"/>
    <col min="4" max="4" width="1.28515625" style="202" customWidth="1"/>
    <col min="5" max="5" width="3.421875" style="202" customWidth="1"/>
    <col min="6" max="6" width="1.421875" style="202" customWidth="1"/>
    <col min="7" max="7" width="3.8515625" style="202" customWidth="1"/>
    <col min="8" max="8" width="1.28515625" style="202" customWidth="1"/>
    <col min="9" max="9" width="4.00390625" style="202" customWidth="1"/>
    <col min="10" max="10" width="1.1484375" style="202" customWidth="1"/>
    <col min="11" max="11" width="3.57421875" style="202" customWidth="1"/>
    <col min="12" max="12" width="1.7109375" style="202" customWidth="1"/>
    <col min="13" max="13" width="3.28125" style="202" customWidth="1"/>
    <col min="14" max="14" width="1.421875" style="202" customWidth="1"/>
    <col min="15" max="15" width="2.8515625" style="202" customWidth="1"/>
    <col min="16" max="16" width="1.7109375" style="202" customWidth="1"/>
    <col min="17" max="17" width="3.421875" style="202" customWidth="1"/>
    <col min="18" max="18" width="7.00390625" style="202" customWidth="1"/>
    <col min="19" max="19" width="3.28125" style="202" customWidth="1"/>
    <col min="20" max="20" width="19.421875" style="202" customWidth="1"/>
    <col min="21" max="21" width="3.00390625" style="202" customWidth="1"/>
    <col min="22" max="22" width="4.57421875" style="202" customWidth="1"/>
    <col min="23" max="23" width="5.421875" style="202" customWidth="1"/>
    <col min="24" max="24" width="9.140625" style="201" hidden="1" customWidth="1"/>
    <col min="25" max="35" width="9.140625" style="202" hidden="1" customWidth="1"/>
    <col min="36" max="39" width="9.140625" style="202" customWidth="1"/>
    <col min="40" max="41" width="10.140625" style="202" bestFit="1" customWidth="1"/>
    <col min="42" max="16384" width="9.140625" style="202" customWidth="1"/>
  </cols>
  <sheetData>
    <row r="1" spans="2:23" s="201" customFormat="1" ht="12.75" hidden="1"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2:23" s="201" customFormat="1" ht="15" hidden="1">
      <c r="B2" s="204"/>
      <c r="C2" s="204"/>
      <c r="D2" s="204"/>
      <c r="E2" s="204"/>
      <c r="F2" s="205"/>
      <c r="G2" s="205"/>
      <c r="H2" s="204"/>
      <c r="I2" s="205"/>
      <c r="J2" s="205"/>
      <c r="K2" s="204"/>
      <c r="L2" s="204"/>
      <c r="M2" s="204"/>
      <c r="N2" s="204"/>
      <c r="O2" s="204"/>
      <c r="P2" s="204"/>
      <c r="Q2" s="204"/>
      <c r="R2" s="206"/>
      <c r="S2" s="206"/>
      <c r="T2" s="206"/>
      <c r="U2" s="204"/>
      <c r="V2" s="204"/>
      <c r="W2" s="204"/>
    </row>
    <row r="3" spans="2:23" s="201" customFormat="1" ht="15" hidden="1">
      <c r="B3" s="204"/>
      <c r="C3" s="204"/>
      <c r="D3" s="204"/>
      <c r="E3" s="204"/>
      <c r="F3" s="205"/>
      <c r="G3" s="205"/>
      <c r="H3" s="204"/>
      <c r="I3" s="205"/>
      <c r="J3" s="205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2:23" s="201" customFormat="1" ht="15" hidden="1">
      <c r="B4" s="204"/>
      <c r="C4" s="204"/>
      <c r="D4" s="204"/>
      <c r="E4" s="204"/>
      <c r="F4" s="205"/>
      <c r="G4" s="205"/>
      <c r="H4" s="204"/>
      <c r="I4" s="205"/>
      <c r="J4" s="205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2:23" s="201" customFormat="1" ht="15" hidden="1">
      <c r="B5" s="204"/>
      <c r="C5" s="204"/>
      <c r="D5" s="204"/>
      <c r="E5" s="204"/>
      <c r="F5" s="205"/>
      <c r="G5" s="205"/>
      <c r="H5" s="204"/>
      <c r="I5" s="205"/>
      <c r="J5" s="205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7"/>
      <c r="V5" s="204"/>
      <c r="W5" s="204"/>
    </row>
    <row r="6" spans="2:23" s="201" customFormat="1" ht="15" hidden="1">
      <c r="B6" s="204"/>
      <c r="C6" s="204"/>
      <c r="D6" s="204"/>
      <c r="E6" s="204"/>
      <c r="F6" s="205"/>
      <c r="G6" s="205"/>
      <c r="H6" s="204"/>
      <c r="I6" s="205"/>
      <c r="J6" s="205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8"/>
      <c r="W6" s="204"/>
    </row>
    <row r="7" spans="2:23" s="201" customFormat="1" ht="12.75" hidden="1"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2:23" ht="12.75" hidden="1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</row>
    <row r="9" spans="2:23" ht="12.75" hidden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</row>
    <row r="10" spans="2:23" ht="12.75" hidden="1"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</row>
    <row r="11" spans="2:28" s="209" customFormat="1" ht="15.75" customHeight="1">
      <c r="B11" s="1157" t="s">
        <v>89</v>
      </c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  <c r="T11" s="1157"/>
      <c r="U11" s="1157"/>
      <c r="V11" s="1157"/>
      <c r="W11" s="1157"/>
      <c r="X11" s="210"/>
      <c r="Y11" s="211"/>
      <c r="AB11" s="212">
        <f>alapadatok!E3</f>
        <v>2012</v>
      </c>
    </row>
    <row r="12" spans="2:28" s="209" customFormat="1" ht="13.5" customHeight="1">
      <c r="B12" s="1167" t="s">
        <v>597</v>
      </c>
      <c r="C12" s="1168"/>
      <c r="D12" s="1168"/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1168"/>
      <c r="Q12" s="1168"/>
      <c r="R12" s="1168"/>
      <c r="S12" s="1168"/>
      <c r="T12" s="1168"/>
      <c r="U12" s="1168"/>
      <c r="V12" s="1168"/>
      <c r="W12" s="1169"/>
      <c r="X12" s="210"/>
      <c r="Y12" s="211"/>
      <c r="AB12" s="212"/>
    </row>
    <row r="13" spans="2:28" s="209" customFormat="1" ht="15" customHeight="1">
      <c r="B13" s="1167" t="s">
        <v>598</v>
      </c>
      <c r="C13" s="1168"/>
      <c r="D13" s="1168"/>
      <c r="E13" s="1168"/>
      <c r="F13" s="1168"/>
      <c r="G13" s="1168"/>
      <c r="H13" s="1168"/>
      <c r="I13" s="1168"/>
      <c r="J13" s="1168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9"/>
      <c r="X13" s="210"/>
      <c r="Y13" s="211"/>
      <c r="AB13" s="212"/>
    </row>
    <row r="14" spans="2:23" s="209" customFormat="1" ht="16.5" customHeight="1">
      <c r="B14" s="1150" t="s">
        <v>599</v>
      </c>
      <c r="C14" s="1151"/>
      <c r="D14" s="1151"/>
      <c r="E14" s="1151"/>
      <c r="F14" s="1151"/>
      <c r="G14" s="1151"/>
      <c r="H14" s="1151"/>
      <c r="I14" s="1151"/>
      <c r="J14" s="1151"/>
      <c r="K14" s="1170" t="str">
        <f>IF(Reg!AM3=99,főkönyv!B23,"DEMO")</f>
        <v>Szabadszállás</v>
      </c>
      <c r="L14" s="1170"/>
      <c r="M14" s="1170"/>
      <c r="N14" s="1170"/>
      <c r="O14" s="1170"/>
      <c r="P14" s="1170"/>
      <c r="Q14" s="1170"/>
      <c r="R14" s="1170"/>
      <c r="S14" s="1151" t="s">
        <v>600</v>
      </c>
      <c r="T14" s="1146"/>
      <c r="U14" s="1146"/>
      <c r="V14" s="1146"/>
      <c r="W14" s="1147"/>
    </row>
    <row r="15" spans="2:24" s="209" customFormat="1" ht="12.75">
      <c r="B15" s="1159" t="s">
        <v>366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59"/>
      <c r="W15" s="1159"/>
      <c r="X15" s="211"/>
    </row>
    <row r="16" spans="2:24" s="209" customFormat="1" ht="16.5" customHeight="1">
      <c r="B16" s="1118" t="s">
        <v>131</v>
      </c>
      <c r="C16" s="1118"/>
      <c r="D16" s="1118"/>
      <c r="E16" s="1118"/>
      <c r="F16" s="1118"/>
      <c r="G16" s="1118"/>
      <c r="H16" s="1118"/>
      <c r="I16" s="1118"/>
      <c r="J16" s="1118"/>
      <c r="K16" s="1118"/>
      <c r="L16" s="1118"/>
      <c r="M16" s="1118"/>
      <c r="N16" s="1118"/>
      <c r="O16" s="1118"/>
      <c r="P16" s="1118"/>
      <c r="Q16" s="1118"/>
      <c r="R16" s="1118"/>
      <c r="S16" s="1118"/>
      <c r="T16" s="1118"/>
      <c r="U16" s="1118"/>
      <c r="V16" s="1118"/>
      <c r="W16" s="1118"/>
      <c r="X16" s="213"/>
    </row>
    <row r="17" ht="1.5" customHeight="1"/>
    <row r="18" spans="2:24" ht="14.25" hidden="1">
      <c r="B18" s="214" t="s">
        <v>132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</row>
    <row r="19" spans="2:24" ht="15" hidden="1">
      <c r="B19" s="205" t="s">
        <v>133</v>
      </c>
      <c r="C19" s="204"/>
      <c r="D19" s="204"/>
      <c r="E19" s="204"/>
      <c r="F19" s="204"/>
      <c r="G19" s="204"/>
      <c r="H19" s="204"/>
      <c r="I19" s="204"/>
      <c r="J19" s="204"/>
      <c r="K19" s="215"/>
      <c r="L19" s="215"/>
      <c r="M19" s="215"/>
      <c r="N19" s="207" t="s">
        <v>134</v>
      </c>
      <c r="O19" s="207"/>
      <c r="P19" s="215"/>
      <c r="Q19" s="204"/>
      <c r="R19" s="207" t="s">
        <v>135</v>
      </c>
      <c r="S19" s="215"/>
      <c r="T19" s="204" t="s">
        <v>136</v>
      </c>
      <c r="U19" s="204"/>
      <c r="V19" s="204"/>
      <c r="W19" s="204"/>
      <c r="X19" s="204"/>
    </row>
    <row r="20" spans="2:24" ht="15" hidden="1">
      <c r="B20" s="205" t="s">
        <v>137</v>
      </c>
      <c r="C20" s="204"/>
      <c r="D20" s="204"/>
      <c r="E20" s="204"/>
      <c r="F20" s="204"/>
      <c r="G20" s="204"/>
      <c r="H20" s="204"/>
      <c r="I20" s="204"/>
      <c r="J20" s="204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04"/>
      <c r="X20" s="204"/>
    </row>
    <row r="21" spans="2:24" ht="12.75" hidden="1">
      <c r="B21" s="204" t="s">
        <v>138</v>
      </c>
      <c r="C21" s="204"/>
      <c r="D21" s="204"/>
      <c r="E21" s="204"/>
      <c r="F21" s="204"/>
      <c r="G21" s="204"/>
      <c r="H21" s="204"/>
      <c r="I21" s="204"/>
      <c r="J21" s="204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04"/>
      <c r="X21" s="204"/>
    </row>
    <row r="22" spans="2:24" ht="12.75" customHeight="1" hidden="1"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</row>
    <row r="23" spans="2:24" ht="12.75" hidden="1"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15"/>
      <c r="U23" s="215"/>
      <c r="V23" s="215"/>
      <c r="W23" s="204"/>
      <c r="X23" s="204"/>
    </row>
    <row r="24" spans="2:24" ht="12.75" customHeight="1" hidden="1">
      <c r="B24" s="217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04"/>
      <c r="S24" s="215"/>
      <c r="T24" s="217" t="s">
        <v>139</v>
      </c>
      <c r="U24" s="217"/>
      <c r="V24" s="215"/>
      <c r="W24" s="215"/>
      <c r="X24" s="204"/>
    </row>
    <row r="25" spans="18:24" ht="12.75" customHeight="1" hidden="1">
      <c r="R25" s="218"/>
      <c r="S25" s="219"/>
      <c r="T25" s="1119"/>
      <c r="U25" s="1119"/>
      <c r="V25" s="1119"/>
      <c r="W25" s="1119"/>
      <c r="X25" s="220"/>
    </row>
    <row r="26" spans="2:38" ht="12.75" customHeight="1">
      <c r="B26" s="1120" t="s">
        <v>140</v>
      </c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221" t="s">
        <v>141</v>
      </c>
      <c r="P26" s="222"/>
      <c r="Q26" s="222"/>
      <c r="R26" s="223"/>
      <c r="S26" s="224"/>
      <c r="T26" s="224"/>
      <c r="U26" s="1121"/>
      <c r="V26" s="1121"/>
      <c r="W26" s="1121"/>
      <c r="X26" s="223"/>
      <c r="Y26" s="225"/>
      <c r="Z26" s="223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6">
        <f>U26</f>
        <v>0</v>
      </c>
    </row>
    <row r="27" spans="2:26" ht="2.25" customHeight="1"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  <c r="M27" s="228"/>
      <c r="N27" s="228"/>
      <c r="O27" s="228"/>
      <c r="P27" s="229"/>
      <c r="Q27" s="229"/>
      <c r="S27" s="230"/>
      <c r="T27" s="230"/>
      <c r="U27" s="230"/>
      <c r="V27" s="201"/>
      <c r="W27" s="201"/>
      <c r="Z27" s="201"/>
    </row>
    <row r="28" spans="3:27" ht="10.5" customHeight="1">
      <c r="C28" s="231"/>
      <c r="D28" s="232"/>
      <c r="E28" s="233" t="s">
        <v>142</v>
      </c>
      <c r="G28" s="1166" t="s">
        <v>143</v>
      </c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234"/>
      <c r="Z28" s="201">
        <f aca="true" t="shared" si="0" ref="Z28:Z34">IF(C28="x",1,0)</f>
        <v>0</v>
      </c>
      <c r="AA28" s="202">
        <f>Z28</f>
        <v>0</v>
      </c>
    </row>
    <row r="29" spans="3:30" ht="10.5" customHeight="1">
      <c r="C29" s="231"/>
      <c r="D29" s="232"/>
      <c r="E29" s="233" t="s">
        <v>144</v>
      </c>
      <c r="G29" s="1166" t="s">
        <v>145</v>
      </c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234"/>
      <c r="Z29" s="201">
        <f t="shared" si="0"/>
        <v>0</v>
      </c>
      <c r="AA29" s="202">
        <f aca="true" t="shared" si="1" ref="AA29:AA37">Z29</f>
        <v>0</v>
      </c>
      <c r="AC29" s="235">
        <f>AA29</f>
        <v>0</v>
      </c>
      <c r="AD29" s="235">
        <f>IF(OR(AC29+AC90=1,AC29+AC90=0),1,0)</f>
        <v>1</v>
      </c>
    </row>
    <row r="30" spans="3:27" ht="10.5" customHeight="1">
      <c r="C30" s="231"/>
      <c r="D30" s="232"/>
      <c r="E30" s="233" t="s">
        <v>146</v>
      </c>
      <c r="G30" s="1166" t="s">
        <v>147</v>
      </c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234"/>
      <c r="Z30" s="201">
        <f t="shared" si="0"/>
        <v>0</v>
      </c>
      <c r="AA30" s="202">
        <f t="shared" si="1"/>
        <v>0</v>
      </c>
    </row>
    <row r="31" spans="3:27" ht="10.5" customHeight="1">
      <c r="C31" s="231"/>
      <c r="D31" s="232"/>
      <c r="E31" s="233" t="s">
        <v>148</v>
      </c>
      <c r="G31" s="1166" t="s">
        <v>149</v>
      </c>
      <c r="H31" s="1166"/>
      <c r="I31" s="1166"/>
      <c r="J31" s="1166"/>
      <c r="K31" s="1166"/>
      <c r="L31" s="1166"/>
      <c r="M31" s="1166"/>
      <c r="N31" s="1166"/>
      <c r="O31" s="1166"/>
      <c r="P31" s="1166"/>
      <c r="Q31" s="1166"/>
      <c r="R31" s="1166"/>
      <c r="S31" s="1166"/>
      <c r="T31" s="1166"/>
      <c r="U31" s="1166"/>
      <c r="V31" s="1166"/>
      <c r="W31" s="1166"/>
      <c r="X31" s="234"/>
      <c r="Z31" s="201">
        <f t="shared" si="0"/>
        <v>0</v>
      </c>
      <c r="AA31" s="202">
        <f t="shared" si="1"/>
        <v>0</v>
      </c>
    </row>
    <row r="32" spans="3:27" ht="10.5" customHeight="1">
      <c r="C32" s="231"/>
      <c r="D32" s="232"/>
      <c r="E32" s="233" t="s">
        <v>150</v>
      </c>
      <c r="G32" s="1166" t="s">
        <v>151</v>
      </c>
      <c r="H32" s="1166"/>
      <c r="I32" s="1166"/>
      <c r="J32" s="1166"/>
      <c r="K32" s="1166"/>
      <c r="L32" s="1166"/>
      <c r="M32" s="1166"/>
      <c r="N32" s="1166"/>
      <c r="O32" s="1166"/>
      <c r="P32" s="1166"/>
      <c r="Q32" s="1166"/>
      <c r="R32" s="1166"/>
      <c r="S32" s="1166"/>
      <c r="T32" s="1166"/>
      <c r="U32" s="1166"/>
      <c r="V32" s="1166"/>
      <c r="W32" s="1166"/>
      <c r="X32" s="234"/>
      <c r="Z32" s="201">
        <f t="shared" si="0"/>
        <v>0</v>
      </c>
      <c r="AA32" s="202">
        <f t="shared" si="1"/>
        <v>0</v>
      </c>
    </row>
    <row r="33" spans="3:27" ht="10.5" customHeight="1">
      <c r="C33" s="231"/>
      <c r="D33" s="232"/>
      <c r="E33" s="233" t="s">
        <v>152</v>
      </c>
      <c r="G33" s="1166" t="s">
        <v>153</v>
      </c>
      <c r="H33" s="1166"/>
      <c r="I33" s="1166"/>
      <c r="J33" s="1166"/>
      <c r="K33" s="1166"/>
      <c r="L33" s="1166"/>
      <c r="M33" s="1166"/>
      <c r="N33" s="1166"/>
      <c r="O33" s="1166"/>
      <c r="P33" s="1166"/>
      <c r="Q33" s="1166"/>
      <c r="R33" s="1166"/>
      <c r="S33" s="1166"/>
      <c r="T33" s="1166"/>
      <c r="U33" s="1166"/>
      <c r="V33" s="1166"/>
      <c r="W33" s="1166"/>
      <c r="X33" s="234"/>
      <c r="Z33" s="201">
        <f t="shared" si="0"/>
        <v>0</v>
      </c>
      <c r="AA33" s="202">
        <f t="shared" si="1"/>
        <v>0</v>
      </c>
    </row>
    <row r="34" spans="3:27" ht="10.5" customHeight="1">
      <c r="C34" s="231"/>
      <c r="D34" s="232"/>
      <c r="E34" s="233" t="s">
        <v>154</v>
      </c>
      <c r="G34" s="1166" t="s">
        <v>156</v>
      </c>
      <c r="H34" s="1166"/>
      <c r="I34" s="1166"/>
      <c r="J34" s="1166"/>
      <c r="K34" s="1166"/>
      <c r="L34" s="1166"/>
      <c r="M34" s="1166"/>
      <c r="N34" s="1166"/>
      <c r="O34" s="1166"/>
      <c r="P34" s="1166"/>
      <c r="Q34" s="1166"/>
      <c r="R34" s="1166"/>
      <c r="S34" s="1166"/>
      <c r="T34" s="1166"/>
      <c r="U34" s="1166"/>
      <c r="V34" s="1166"/>
      <c r="W34" s="1166"/>
      <c r="Z34" s="201">
        <f t="shared" si="0"/>
        <v>0</v>
      </c>
      <c r="AA34" s="202">
        <f t="shared" si="1"/>
        <v>0</v>
      </c>
    </row>
    <row r="35" spans="3:26" ht="9.75" customHeight="1">
      <c r="C35" s="231"/>
      <c r="D35" s="232"/>
      <c r="E35" s="233" t="s">
        <v>157</v>
      </c>
      <c r="G35" s="1166" t="s">
        <v>596</v>
      </c>
      <c r="H35" s="1166"/>
      <c r="I35" s="1166"/>
      <c r="J35" s="1166"/>
      <c r="K35" s="1166"/>
      <c r="L35" s="1166"/>
      <c r="M35" s="1166"/>
      <c r="N35" s="1166"/>
      <c r="O35" s="1166"/>
      <c r="P35" s="1166"/>
      <c r="Q35" s="1166"/>
      <c r="R35" s="1166"/>
      <c r="S35" s="1166"/>
      <c r="T35" s="1166"/>
      <c r="U35" s="1166"/>
      <c r="V35" s="1166"/>
      <c r="W35" s="1166"/>
      <c r="Z35" s="201"/>
    </row>
    <row r="36" spans="5:28" ht="12.75" customHeight="1">
      <c r="E36" s="236"/>
      <c r="F36" s="237"/>
      <c r="G36" s="1166" t="s">
        <v>159</v>
      </c>
      <c r="H36" s="1166"/>
      <c r="I36" s="1166"/>
      <c r="J36" s="1166"/>
      <c r="K36" s="1166"/>
      <c r="L36" s="1166"/>
      <c r="M36" s="1166"/>
      <c r="N36" s="1166"/>
      <c r="O36" s="1166"/>
      <c r="P36" s="1166"/>
      <c r="Q36" s="1166"/>
      <c r="R36" s="1166"/>
      <c r="S36" s="1166"/>
      <c r="T36" s="1166"/>
      <c r="U36" s="1166"/>
      <c r="V36" s="1166"/>
      <c r="W36" s="1166"/>
      <c r="Z36" s="201">
        <f>IF(C35="x",1,0)</f>
        <v>0</v>
      </c>
      <c r="AA36" s="202">
        <f t="shared" si="1"/>
        <v>0</v>
      </c>
      <c r="AB36" s="238">
        <f>SUM(AA28:AA36)</f>
        <v>0</v>
      </c>
    </row>
    <row r="37" spans="3:28" ht="12" customHeight="1">
      <c r="C37" s="231"/>
      <c r="D37" s="240"/>
      <c r="E37" s="233" t="s">
        <v>601</v>
      </c>
      <c r="F37" s="201"/>
      <c r="G37" s="201" t="s">
        <v>602</v>
      </c>
      <c r="H37" s="201"/>
      <c r="I37" s="201"/>
      <c r="J37" s="201"/>
      <c r="K37" s="201"/>
      <c r="L37" s="850"/>
      <c r="M37" s="850"/>
      <c r="N37" s="850"/>
      <c r="O37" s="850"/>
      <c r="P37" s="850"/>
      <c r="Q37" s="850"/>
      <c r="R37" s="850"/>
      <c r="S37" s="850"/>
      <c r="T37" s="850"/>
      <c r="U37" s="1155"/>
      <c r="V37" s="1155"/>
      <c r="W37" s="1155"/>
      <c r="Z37" s="201">
        <f>IF(C37="x",1,0)</f>
        <v>0</v>
      </c>
      <c r="AA37" s="202">
        <f t="shared" si="1"/>
        <v>0</v>
      </c>
      <c r="AB37" s="238"/>
    </row>
    <row r="38" spans="2:27" ht="12.75" customHeight="1">
      <c r="B38" s="239"/>
      <c r="C38" s="240"/>
      <c r="D38" s="240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Z38" s="201"/>
      <c r="AA38" s="202">
        <f>SUM(AA28:AA37)</f>
        <v>0</v>
      </c>
    </row>
    <row r="39" spans="2:24" s="201" customFormat="1" ht="12.75" customHeight="1">
      <c r="B39" s="1190" t="s">
        <v>160</v>
      </c>
      <c r="C39" s="1190"/>
      <c r="D39" s="1190"/>
      <c r="E39" s="1190"/>
      <c r="F39" s="1190"/>
      <c r="G39" s="1190"/>
      <c r="H39" s="1190"/>
      <c r="I39" s="1190"/>
      <c r="J39" s="1190"/>
      <c r="K39" s="1190"/>
      <c r="L39" s="1190"/>
      <c r="M39" s="1190"/>
      <c r="N39" s="1190"/>
      <c r="O39" s="241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3:24" s="201" customFormat="1" ht="1.5" customHeight="1"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2:41" s="243" customFormat="1" ht="14.25" customHeight="1">
      <c r="B41" s="1126">
        <v>2012</v>
      </c>
      <c r="C41" s="1126"/>
      <c r="D41" s="245"/>
      <c r="E41" s="246" t="s">
        <v>134</v>
      </c>
      <c r="F41" s="1127"/>
      <c r="G41" s="1127"/>
      <c r="H41" s="1127"/>
      <c r="I41" s="1127"/>
      <c r="J41" s="1127"/>
      <c r="K41" s="1127"/>
      <c r="L41" s="245"/>
      <c r="M41" s="246" t="s">
        <v>135</v>
      </c>
      <c r="N41" s="1126"/>
      <c r="O41" s="1126"/>
      <c r="P41" s="1122" t="s">
        <v>161</v>
      </c>
      <c r="Q41" s="1122"/>
      <c r="R41" s="244">
        <v>2012</v>
      </c>
      <c r="S41" s="246" t="s">
        <v>134</v>
      </c>
      <c r="T41" s="244"/>
      <c r="U41" s="246" t="s">
        <v>135</v>
      </c>
      <c r="V41" s="244"/>
      <c r="W41" s="246" t="s">
        <v>162</v>
      </c>
      <c r="X41" s="247">
        <f>IF(B41="",0,1)</f>
        <v>1</v>
      </c>
      <c r="Y41" s="247">
        <f>IF(F41="",0,1)</f>
        <v>0</v>
      </c>
      <c r="Z41" s="247">
        <f>IF(N41="",0,1)</f>
        <v>0</v>
      </c>
      <c r="AA41" s="247">
        <f>IF(X41+Y41+Z41=3,1,0)</f>
        <v>0</v>
      </c>
      <c r="AB41" s="246"/>
      <c r="AC41" s="247">
        <f>IF(R41="",0,1)</f>
        <v>1</v>
      </c>
      <c r="AD41" s="247">
        <f>IF(T41="",0,1)</f>
        <v>0</v>
      </c>
      <c r="AE41" s="247">
        <f>IF(V41="",0,1)</f>
        <v>0</v>
      </c>
      <c r="AF41" s="247">
        <f>IF(AC41+AD41+AE41=3,1,0)</f>
        <v>0</v>
      </c>
      <c r="AG41" s="243">
        <f>SUM(X41:AF42)</f>
        <v>2</v>
      </c>
      <c r="AN41" s="802" t="str">
        <f>CONCATENATE(B41,".",F41,".",N41)</f>
        <v>2012..</v>
      </c>
      <c r="AO41" s="802"/>
    </row>
    <row r="42" spans="3:41" s="201" customFormat="1" ht="1.5" customHeight="1"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AB42" s="246"/>
      <c r="AN42" s="803"/>
      <c r="AO42" s="803"/>
    </row>
    <row r="43" spans="1:43" s="250" customFormat="1" ht="15" customHeight="1">
      <c r="A43" s="240"/>
      <c r="B43" s="248" t="s">
        <v>163</v>
      </c>
      <c r="C43" s="1128" t="s">
        <v>164</v>
      </c>
      <c r="D43" s="1128"/>
      <c r="E43" s="1128"/>
      <c r="F43" s="1128"/>
      <c r="G43" s="1128"/>
      <c r="H43" s="1128"/>
      <c r="I43" s="1128"/>
      <c r="J43" s="1128"/>
      <c r="K43" s="1128"/>
      <c r="L43" s="1128"/>
      <c r="M43" s="1128"/>
      <c r="N43" s="1128"/>
      <c r="O43" s="1128"/>
      <c r="P43" s="1128"/>
      <c r="Q43" s="1128"/>
      <c r="R43" s="1128"/>
      <c r="S43" s="1128"/>
      <c r="T43" s="1128"/>
      <c r="U43" s="1128"/>
      <c r="V43" s="1128"/>
      <c r="W43" s="1128"/>
      <c r="X43" s="1128"/>
      <c r="Y43" s="1128"/>
      <c r="Z43" s="1128"/>
      <c r="AA43" s="1128"/>
      <c r="AB43" s="1128"/>
      <c r="AC43" s="1128"/>
      <c r="AD43" s="1128"/>
      <c r="AE43" s="1128"/>
      <c r="AF43" s="1128"/>
      <c r="AN43" s="804">
        <v>41275</v>
      </c>
      <c r="AO43" s="805" t="e">
        <f>AN43-AN41</f>
        <v>#VALUE!</v>
      </c>
      <c r="AQ43" s="251"/>
    </row>
    <row r="44" spans="1:43" s="250" customFormat="1" ht="12.75" customHeight="1" hidden="1">
      <c r="A44" s="240"/>
      <c r="B44" s="252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Q44" s="251"/>
    </row>
    <row r="45" spans="1:43" s="250" customFormat="1" ht="10.5" customHeight="1">
      <c r="A45" s="240"/>
      <c r="B45" s="239"/>
      <c r="C45" s="231"/>
      <c r="E45" s="253" t="s">
        <v>165</v>
      </c>
      <c r="G45" s="1166" t="s">
        <v>166</v>
      </c>
      <c r="H45" s="1166"/>
      <c r="I45" s="1166"/>
      <c r="J45" s="1166"/>
      <c r="K45" s="1166"/>
      <c r="L45" s="1166"/>
      <c r="M45" s="1166"/>
      <c r="N45" s="1166"/>
      <c r="O45" s="1166"/>
      <c r="P45" s="1166"/>
      <c r="Q45" s="1166"/>
      <c r="R45" s="1166"/>
      <c r="S45" s="1166"/>
      <c r="T45" s="1166"/>
      <c r="U45" s="1166"/>
      <c r="V45" s="1166"/>
      <c r="W45" s="1166"/>
      <c r="X45" s="240"/>
      <c r="Y45" s="240"/>
      <c r="Z45" s="240"/>
      <c r="AA45" s="240"/>
      <c r="AB45" s="240"/>
      <c r="AC45" s="240"/>
      <c r="AD45" s="240"/>
      <c r="AE45" s="240"/>
      <c r="AH45" s="250">
        <f aca="true" t="shared" si="2" ref="AH45:AH50">IF(C45="x",1,0)</f>
        <v>0</v>
      </c>
      <c r="AQ45" s="251"/>
    </row>
    <row r="46" spans="1:43" s="250" customFormat="1" ht="10.5" customHeight="1">
      <c r="A46" s="240"/>
      <c r="B46" s="239"/>
      <c r="C46" s="231"/>
      <c r="E46" s="253" t="s">
        <v>167</v>
      </c>
      <c r="G46" s="1166" t="s">
        <v>168</v>
      </c>
      <c r="H46" s="1166"/>
      <c r="I46" s="1166"/>
      <c r="J46" s="1166"/>
      <c r="K46" s="1166"/>
      <c r="L46" s="1166"/>
      <c r="M46" s="1166"/>
      <c r="N46" s="1166"/>
      <c r="O46" s="1166"/>
      <c r="P46" s="1166"/>
      <c r="Q46" s="1166"/>
      <c r="R46" s="1166"/>
      <c r="S46" s="1166"/>
      <c r="T46" s="1166"/>
      <c r="U46" s="1166"/>
      <c r="V46" s="1166"/>
      <c r="W46" s="1166"/>
      <c r="X46" s="240"/>
      <c r="Y46" s="240"/>
      <c r="Z46" s="240"/>
      <c r="AA46" s="240"/>
      <c r="AB46" s="240"/>
      <c r="AC46" s="240"/>
      <c r="AD46" s="240"/>
      <c r="AE46" s="240"/>
      <c r="AH46" s="250">
        <f t="shared" si="2"/>
        <v>0</v>
      </c>
      <c r="AQ46" s="251"/>
    </row>
    <row r="47" spans="1:43" s="250" customFormat="1" ht="10.5" customHeight="1">
      <c r="A47" s="240"/>
      <c r="B47" s="239"/>
      <c r="C47" s="231"/>
      <c r="E47" s="253" t="s">
        <v>170</v>
      </c>
      <c r="G47" s="1166" t="s">
        <v>171</v>
      </c>
      <c r="H47" s="1166"/>
      <c r="I47" s="1166"/>
      <c r="J47" s="1166"/>
      <c r="K47" s="1166"/>
      <c r="L47" s="1166"/>
      <c r="M47" s="1166"/>
      <c r="N47" s="1166"/>
      <c r="O47" s="1166"/>
      <c r="P47" s="1166"/>
      <c r="Q47" s="1166"/>
      <c r="R47" s="1166"/>
      <c r="S47" s="1166"/>
      <c r="T47" s="1166"/>
      <c r="U47" s="1166"/>
      <c r="V47" s="1166"/>
      <c r="W47" s="1166"/>
      <c r="X47" s="240"/>
      <c r="Y47" s="240"/>
      <c r="Z47" s="240"/>
      <c r="AA47" s="240"/>
      <c r="AB47" s="240"/>
      <c r="AC47" s="240"/>
      <c r="AD47" s="240"/>
      <c r="AE47" s="240"/>
      <c r="AH47" s="250">
        <f t="shared" si="2"/>
        <v>0</v>
      </c>
      <c r="AQ47" s="251"/>
    </row>
    <row r="48" spans="1:43" s="250" customFormat="1" ht="10.5" customHeight="1">
      <c r="A48" s="240"/>
      <c r="B48" s="239"/>
      <c r="C48" s="231"/>
      <c r="E48" s="253" t="s">
        <v>172</v>
      </c>
      <c r="G48" s="1166" t="s">
        <v>173</v>
      </c>
      <c r="H48" s="1166"/>
      <c r="I48" s="1166"/>
      <c r="J48" s="1166"/>
      <c r="K48" s="1166"/>
      <c r="L48" s="1166"/>
      <c r="M48" s="1166"/>
      <c r="N48" s="1166"/>
      <c r="O48" s="1166"/>
      <c r="P48" s="1166"/>
      <c r="Q48" s="1166"/>
      <c r="R48" s="1166"/>
      <c r="S48" s="1166"/>
      <c r="T48" s="1166"/>
      <c r="U48" s="1166"/>
      <c r="V48" s="1166"/>
      <c r="W48" s="1166"/>
      <c r="X48" s="240"/>
      <c r="Y48" s="240"/>
      <c r="Z48" s="240"/>
      <c r="AA48" s="240"/>
      <c r="AB48" s="240"/>
      <c r="AC48" s="240"/>
      <c r="AD48" s="240"/>
      <c r="AE48" s="240"/>
      <c r="AH48" s="250">
        <f t="shared" si="2"/>
        <v>0</v>
      </c>
      <c r="AQ48" s="251"/>
    </row>
    <row r="49" spans="1:43" s="250" customFormat="1" ht="10.5" customHeight="1">
      <c r="A49" s="240"/>
      <c r="B49" s="239"/>
      <c r="C49" s="231"/>
      <c r="E49" s="253" t="s">
        <v>174</v>
      </c>
      <c r="G49" s="1166" t="s">
        <v>175</v>
      </c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T49" s="1166"/>
      <c r="U49" s="1166"/>
      <c r="V49" s="1166"/>
      <c r="W49" s="1166"/>
      <c r="X49" s="240"/>
      <c r="Y49" s="240"/>
      <c r="Z49" s="240"/>
      <c r="AA49" s="240"/>
      <c r="AB49" s="240"/>
      <c r="AC49" s="240"/>
      <c r="AD49" s="240"/>
      <c r="AE49" s="240"/>
      <c r="AH49" s="250">
        <f t="shared" si="2"/>
        <v>0</v>
      </c>
      <c r="AQ49" s="251"/>
    </row>
    <row r="50" spans="1:43" s="250" customFormat="1" ht="10.5" customHeight="1">
      <c r="A50" s="240"/>
      <c r="B50" s="239"/>
      <c r="C50" s="231"/>
      <c r="E50" s="253" t="s">
        <v>176</v>
      </c>
      <c r="G50" s="1166" t="s">
        <v>177</v>
      </c>
      <c r="H50" s="1166"/>
      <c r="I50" s="1166"/>
      <c r="J50" s="1166"/>
      <c r="K50" s="1166"/>
      <c r="L50" s="1166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240"/>
      <c r="Y50" s="240"/>
      <c r="Z50" s="240"/>
      <c r="AA50" s="240"/>
      <c r="AB50" s="240"/>
      <c r="AC50" s="240"/>
      <c r="AD50" s="240"/>
      <c r="AE50" s="240"/>
      <c r="AH50" s="250">
        <f t="shared" si="2"/>
        <v>0</v>
      </c>
      <c r="AQ50" s="251"/>
    </row>
    <row r="51" spans="1:43" s="250" customFormat="1" ht="10.5" customHeight="1">
      <c r="A51" s="240"/>
      <c r="B51" s="201"/>
      <c r="C51" s="232"/>
      <c r="D51" s="240"/>
      <c r="E51" s="230"/>
      <c r="G51" s="1166" t="s">
        <v>178</v>
      </c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6"/>
      <c r="T51" s="1166"/>
      <c r="U51" s="1166"/>
      <c r="V51" s="1166"/>
      <c r="W51" s="1166"/>
      <c r="X51" s="240"/>
      <c r="Y51" s="240"/>
      <c r="Z51" s="240"/>
      <c r="AA51" s="240"/>
      <c r="AB51" s="240"/>
      <c r="AC51" s="240"/>
      <c r="AD51" s="240"/>
      <c r="AE51" s="240"/>
      <c r="AQ51" s="251"/>
    </row>
    <row r="52" spans="1:43" s="250" customFormat="1" ht="10.5" customHeight="1">
      <c r="A52" s="240"/>
      <c r="B52" s="240"/>
      <c r="C52" s="231"/>
      <c r="E52" s="253" t="s">
        <v>179</v>
      </c>
      <c r="G52" s="1166" t="s">
        <v>180</v>
      </c>
      <c r="H52" s="1166"/>
      <c r="I52" s="1166"/>
      <c r="J52" s="1166"/>
      <c r="K52" s="1166"/>
      <c r="L52" s="1166"/>
      <c r="M52" s="1166"/>
      <c r="N52" s="1166"/>
      <c r="O52" s="1166"/>
      <c r="P52" s="1166"/>
      <c r="Q52" s="1166"/>
      <c r="R52" s="1166"/>
      <c r="S52" s="1166"/>
      <c r="T52" s="1166"/>
      <c r="U52" s="1166"/>
      <c r="V52" s="1166"/>
      <c r="W52" s="1166"/>
      <c r="X52" s="240"/>
      <c r="Y52" s="240"/>
      <c r="Z52" s="240"/>
      <c r="AA52" s="240"/>
      <c r="AB52" s="240"/>
      <c r="AC52" s="240"/>
      <c r="AD52" s="240"/>
      <c r="AE52" s="240"/>
      <c r="AH52" s="250">
        <f aca="true" t="shared" si="3" ref="AH52:AH57">IF(C52="x",1,0)</f>
        <v>0</v>
      </c>
      <c r="AQ52" s="251"/>
    </row>
    <row r="53" spans="1:43" s="250" customFormat="1" ht="10.5" customHeight="1">
      <c r="A53" s="240"/>
      <c r="B53" s="240"/>
      <c r="C53" s="231"/>
      <c r="E53" s="253" t="s">
        <v>181</v>
      </c>
      <c r="G53" s="1166" t="s">
        <v>182</v>
      </c>
      <c r="H53" s="1166"/>
      <c r="I53" s="1166"/>
      <c r="J53" s="1166"/>
      <c r="K53" s="1166"/>
      <c r="L53" s="1166"/>
      <c r="M53" s="1166"/>
      <c r="N53" s="1166"/>
      <c r="O53" s="1166"/>
      <c r="P53" s="1166"/>
      <c r="Q53" s="1166"/>
      <c r="R53" s="1166"/>
      <c r="S53" s="1166"/>
      <c r="T53" s="1166"/>
      <c r="U53" s="1166"/>
      <c r="V53" s="1166"/>
      <c r="W53" s="1166"/>
      <c r="X53" s="240"/>
      <c r="Y53" s="240"/>
      <c r="Z53" s="240"/>
      <c r="AA53" s="240"/>
      <c r="AB53" s="240"/>
      <c r="AC53" s="240"/>
      <c r="AD53" s="240"/>
      <c r="AE53" s="240"/>
      <c r="AH53" s="250">
        <f t="shared" si="3"/>
        <v>0</v>
      </c>
      <c r="AQ53" s="251"/>
    </row>
    <row r="54" spans="1:43" s="250" customFormat="1" ht="10.5" customHeight="1">
      <c r="A54" s="240"/>
      <c r="B54" s="240"/>
      <c r="C54" s="231"/>
      <c r="E54" s="253" t="s">
        <v>183</v>
      </c>
      <c r="G54" s="1166" t="s">
        <v>184</v>
      </c>
      <c r="H54" s="1166"/>
      <c r="I54" s="1166"/>
      <c r="J54" s="1166"/>
      <c r="K54" s="1166"/>
      <c r="L54" s="1166"/>
      <c r="M54" s="1166"/>
      <c r="N54" s="1166"/>
      <c r="O54" s="1166"/>
      <c r="P54" s="1166"/>
      <c r="Q54" s="1166"/>
      <c r="R54" s="1166"/>
      <c r="S54" s="1166"/>
      <c r="T54" s="1166"/>
      <c r="U54" s="1166"/>
      <c r="V54" s="1166"/>
      <c r="W54" s="1166"/>
      <c r="X54" s="240"/>
      <c r="Y54" s="240"/>
      <c r="Z54" s="240"/>
      <c r="AA54" s="240"/>
      <c r="AB54" s="240"/>
      <c r="AC54" s="240"/>
      <c r="AD54" s="240"/>
      <c r="AE54" s="240"/>
      <c r="AH54" s="250">
        <f t="shared" si="3"/>
        <v>0</v>
      </c>
      <c r="AQ54" s="251"/>
    </row>
    <row r="55" spans="1:43" s="250" customFormat="1" ht="10.5" customHeight="1">
      <c r="A55" s="240"/>
      <c r="B55" s="240"/>
      <c r="C55" s="231"/>
      <c r="E55" s="253" t="s">
        <v>185</v>
      </c>
      <c r="G55" s="1166" t="s">
        <v>824</v>
      </c>
      <c r="H55" s="1166"/>
      <c r="I55" s="1166"/>
      <c r="J55" s="1166"/>
      <c r="K55" s="1166"/>
      <c r="L55" s="1166"/>
      <c r="M55" s="1166"/>
      <c r="N55" s="1166"/>
      <c r="O55" s="1166"/>
      <c r="P55" s="1166"/>
      <c r="Q55" s="1166"/>
      <c r="R55" s="1166"/>
      <c r="S55" s="1166"/>
      <c r="T55" s="1166"/>
      <c r="U55" s="1166"/>
      <c r="V55" s="1166"/>
      <c r="W55" s="1166"/>
      <c r="X55" s="240"/>
      <c r="Y55" s="240"/>
      <c r="Z55" s="240"/>
      <c r="AA55" s="240"/>
      <c r="AB55" s="240"/>
      <c r="AC55" s="240"/>
      <c r="AD55" s="240"/>
      <c r="AE55" s="240"/>
      <c r="AH55" s="250">
        <f t="shared" si="3"/>
        <v>0</v>
      </c>
      <c r="AQ55" s="251"/>
    </row>
    <row r="56" spans="1:43" s="250" customFormat="1" ht="10.5" customHeight="1">
      <c r="A56" s="240"/>
      <c r="B56" s="240"/>
      <c r="C56" s="231"/>
      <c r="E56" s="253" t="s">
        <v>187</v>
      </c>
      <c r="G56" s="1166" t="s">
        <v>186</v>
      </c>
      <c r="H56" s="1166"/>
      <c r="I56" s="1166"/>
      <c r="J56" s="1166"/>
      <c r="K56" s="1166"/>
      <c r="L56" s="1166"/>
      <c r="M56" s="1166"/>
      <c r="N56" s="1166"/>
      <c r="O56" s="1166"/>
      <c r="P56" s="1166"/>
      <c r="Q56" s="1166"/>
      <c r="R56" s="1166"/>
      <c r="S56" s="1166"/>
      <c r="T56" s="1166"/>
      <c r="U56" s="1166"/>
      <c r="V56" s="1166"/>
      <c r="W56" s="1166"/>
      <c r="X56" s="240"/>
      <c r="Y56" s="240"/>
      <c r="Z56" s="240"/>
      <c r="AA56" s="240"/>
      <c r="AB56" s="240"/>
      <c r="AC56" s="240"/>
      <c r="AD56" s="240"/>
      <c r="AE56" s="240"/>
      <c r="AH56" s="250">
        <f t="shared" si="3"/>
        <v>0</v>
      </c>
      <c r="AQ56" s="251"/>
    </row>
    <row r="57" spans="1:43" s="250" customFormat="1" ht="10.5" customHeight="1">
      <c r="A57" s="240"/>
      <c r="B57" s="240"/>
      <c r="C57" s="231"/>
      <c r="E57" s="253" t="s">
        <v>825</v>
      </c>
      <c r="G57" s="1131" t="s">
        <v>188</v>
      </c>
      <c r="H57" s="1131"/>
      <c r="I57" s="1131"/>
      <c r="J57" s="1131"/>
      <c r="K57" s="1131"/>
      <c r="L57" s="1131"/>
      <c r="M57" s="1131"/>
      <c r="N57" s="1131"/>
      <c r="O57" s="1131"/>
      <c r="P57" s="1131"/>
      <c r="Q57" s="1131"/>
      <c r="R57" s="1131"/>
      <c r="S57" s="1131"/>
      <c r="T57" s="1131"/>
      <c r="U57" s="1131"/>
      <c r="V57" s="1131"/>
      <c r="W57" s="1131"/>
      <c r="X57" s="240"/>
      <c r="Y57" s="240"/>
      <c r="Z57" s="240"/>
      <c r="AA57" s="240"/>
      <c r="AB57" s="240"/>
      <c r="AC57" s="240"/>
      <c r="AD57" s="240"/>
      <c r="AE57" s="240"/>
      <c r="AH57" s="250">
        <f t="shared" si="3"/>
        <v>0</v>
      </c>
      <c r="AI57" s="254">
        <f>SUM(AH45:AH57)-AA29</f>
        <v>0</v>
      </c>
      <c r="AJ57" s="255">
        <f>'1. oldal'!AA29</f>
        <v>0</v>
      </c>
      <c r="AQ57" s="251"/>
    </row>
    <row r="58" spans="3:43" s="240" customFormat="1" ht="1.5" customHeight="1">
      <c r="C58" s="239"/>
      <c r="AK58" s="240">
        <f>IF(AND(AI57=0,AJ57=0),1,0)</f>
        <v>1</v>
      </c>
      <c r="AQ58" s="256"/>
    </row>
    <row r="59" spans="2:43" s="240" customFormat="1" ht="14.25" customHeight="1">
      <c r="B59" s="257" t="s">
        <v>189</v>
      </c>
      <c r="C59" s="239"/>
      <c r="W59" s="258"/>
      <c r="AQ59" s="256"/>
    </row>
    <row r="60" spans="2:43" s="240" customFormat="1" ht="1.5" customHeight="1">
      <c r="B60" s="259"/>
      <c r="W60" s="258"/>
      <c r="AQ60" s="256"/>
    </row>
    <row r="61" spans="3:43" s="240" customFormat="1" ht="15.75" customHeight="1">
      <c r="C61" s="260" t="s">
        <v>504</v>
      </c>
      <c r="E61" s="260" t="s">
        <v>506</v>
      </c>
      <c r="G61" s="260" t="s">
        <v>507</v>
      </c>
      <c r="I61" s="260" t="s">
        <v>508</v>
      </c>
      <c r="J61" s="261"/>
      <c r="K61" s="260" t="s">
        <v>190</v>
      </c>
      <c r="L61" s="261"/>
      <c r="M61" s="260" t="s">
        <v>191</v>
      </c>
      <c r="O61" s="260" t="s">
        <v>192</v>
      </c>
      <c r="Q61" s="1061" t="s">
        <v>556</v>
      </c>
      <c r="S61" s="1116" t="s">
        <v>514</v>
      </c>
      <c r="U61" s="1058">
        <f>IF(átv!J17=0,"","ÁTV")</f>
      </c>
      <c r="W61" s="262"/>
      <c r="AQ61" s="256"/>
    </row>
    <row r="62" spans="17:43" s="240" customFormat="1" ht="3" customHeight="1">
      <c r="Q62" s="264"/>
      <c r="W62" s="258"/>
      <c r="AQ62" s="256"/>
    </row>
    <row r="63" spans="3:43" s="240" customFormat="1" ht="15.75" customHeight="1">
      <c r="C63" s="263">
        <f>IF(AND('A.LAP'!J18=0,'A.LAP'!J19=0,'A.LAP'!J20=0,'A.LAP'!J21=0,'A.LAP'!J22=0,'A.LAP'!J23=""),"","X")</f>
      </c>
      <c r="D63" s="258"/>
      <c r="E63" s="263">
        <f>IF(AND(B_LAP!J18="",B_LAP!J19="",B_LAP!J20="",B_LAP!J21="",B_LAP!J22="",B_LAP!J23="",B_LAP!J24=""),"","X")</f>
      </c>
      <c r="F63" s="258"/>
      <c r="G63" s="263">
        <f>IF(AND(C_LAP!J18="",C_LAP!J19="",C_LAP!J20="",C_LAP!J21="",C_LAP!J22="",C_LAP!J23="",C_LAP!J24=""),"","X")</f>
      </c>
      <c r="H63" s="258"/>
      <c r="I63" s="263">
        <f>IF(AND(D_LAP!J18="",D_LAP!J19="",D_LAP!J20="",D_LAP!J21="",D_LAP!J22=""),"","X")</f>
      </c>
      <c r="J63" s="262"/>
      <c r="K63" s="263">
        <f>IF(AND(E_LAP!A19=""),"","X")</f>
      </c>
      <c r="L63" s="262"/>
      <c r="M63" s="263">
        <f>IF('F.LAP'!K24+'F.LAP'!K27+'F.LAP'!K29+'F.LAP'!K31=0,"","X")</f>
      </c>
      <c r="O63" s="263">
        <f>IF('G.LAP'!Z50=0,"","X")</f>
      </c>
      <c r="Q63" s="1062">
        <f>IF('G.LAP'!AB50=0,"","X")</f>
      </c>
      <c r="R63" s="258"/>
      <c r="S63" s="263">
        <f>IF('2. oldal'!AM23&gt;0,"X","")</f>
      </c>
      <c r="U63" s="263">
        <f>IF(átv!J17=0,"","X")</f>
      </c>
      <c r="W63" s="262"/>
      <c r="AF63" s="240" t="s">
        <v>193</v>
      </c>
      <c r="AG63" s="240" t="s">
        <v>194</v>
      </c>
      <c r="AQ63" s="256"/>
    </row>
    <row r="64" spans="3:43" s="240" customFormat="1" ht="3" customHeight="1">
      <c r="C64" s="264" t="s">
        <v>195</v>
      </c>
      <c r="W64" s="258"/>
      <c r="AQ64" s="256"/>
    </row>
    <row r="65" spans="3:43" s="240" customFormat="1" ht="12.75" customHeight="1" hidden="1">
      <c r="C65" s="239"/>
      <c r="AQ65" s="256"/>
    </row>
    <row r="66" spans="3:43" s="240" customFormat="1" ht="12.75" customHeight="1" hidden="1">
      <c r="C66" s="239"/>
      <c r="AQ66" s="256"/>
    </row>
    <row r="67" spans="2:23" ht="12.75" customHeight="1">
      <c r="B67" s="257" t="s">
        <v>196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</row>
    <row r="68" spans="2:23" ht="0.75" customHeight="1">
      <c r="B68" s="259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</row>
    <row r="69" spans="2:33" s="201" customFormat="1" ht="13.5" customHeight="1">
      <c r="B69" s="240"/>
      <c r="C69" s="1158" t="s">
        <v>197</v>
      </c>
      <c r="D69" s="1158"/>
      <c r="E69" s="1158"/>
      <c r="F69" s="1158"/>
      <c r="G69" s="1158"/>
      <c r="H69" s="1158"/>
      <c r="I69" s="1158"/>
      <c r="J69" s="1158"/>
      <c r="K69" s="1132"/>
      <c r="L69" s="1132"/>
      <c r="M69" s="1132"/>
      <c r="N69" s="1132"/>
      <c r="O69" s="1132"/>
      <c r="P69" s="1132"/>
      <c r="Q69" s="1132"/>
      <c r="R69" s="1132"/>
      <c r="S69" s="1132"/>
      <c r="T69" s="1132"/>
      <c r="U69" s="1132"/>
      <c r="V69" s="1132"/>
      <c r="W69" s="1132"/>
      <c r="X69" s="265"/>
      <c r="Z69" s="266">
        <f>IF(K69="",0,1)</f>
        <v>0</v>
      </c>
      <c r="AF69" s="201">
        <f>AA70</f>
        <v>0</v>
      </c>
      <c r="AG69" s="201">
        <f>AA70</f>
        <v>0</v>
      </c>
    </row>
    <row r="70" spans="4:27" s="201" customFormat="1" ht="12.75" customHeight="1" hidden="1"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8"/>
      <c r="AA70" s="266">
        <f>IF((Z69+Z70)&lt;1,0,1)</f>
        <v>0</v>
      </c>
    </row>
    <row r="71" spans="3:32" s="201" customFormat="1" ht="12" customHeight="1">
      <c r="C71" s="1137" t="s">
        <v>198</v>
      </c>
      <c r="D71" s="1137"/>
      <c r="E71" s="1137"/>
      <c r="F71" s="1137"/>
      <c r="G71" s="1137"/>
      <c r="H71" s="1123"/>
      <c r="I71" s="1123"/>
      <c r="J71" s="1123"/>
      <c r="K71" s="1123"/>
      <c r="L71" s="1123"/>
      <c r="M71" s="1123"/>
      <c r="N71" s="1123"/>
      <c r="O71" s="1123"/>
      <c r="P71" s="1123"/>
      <c r="Q71" s="270"/>
      <c r="R71" s="271" t="s">
        <v>199</v>
      </c>
      <c r="S71" s="1145"/>
      <c r="T71" s="1145"/>
      <c r="U71" s="1145"/>
      <c r="V71" s="1145"/>
      <c r="W71" s="272"/>
      <c r="X71" s="272"/>
      <c r="Z71" s="273">
        <f>IF(H71="",0,1)</f>
        <v>0</v>
      </c>
      <c r="AA71" s="273">
        <f>IF(S71="",0,1)</f>
        <v>0</v>
      </c>
      <c r="AF71" s="201">
        <f>Z71+AA71</f>
        <v>0</v>
      </c>
    </row>
    <row r="72" spans="3:24" s="201" customFormat="1" ht="12.75" customHeight="1" hidden="1">
      <c r="C72" s="1133" t="s">
        <v>737</v>
      </c>
      <c r="D72" s="1133"/>
      <c r="E72" s="1133"/>
      <c r="F72" s="1133"/>
      <c r="G72" s="1133"/>
      <c r="H72" s="1133"/>
      <c r="I72" s="1134">
        <f>IF(alapadatok!D18="","",alapadatok!D18)</f>
      </c>
      <c r="J72" s="1134"/>
      <c r="K72" s="1134"/>
      <c r="L72" s="1134"/>
      <c r="M72" s="1134"/>
      <c r="N72" s="1134"/>
      <c r="O72" s="1134"/>
      <c r="P72" s="1134"/>
      <c r="Q72" s="1134"/>
      <c r="R72" s="1134"/>
      <c r="S72" s="1134"/>
      <c r="T72" s="1134"/>
      <c r="U72" s="1134"/>
      <c r="V72" s="1134"/>
      <c r="W72" s="1134"/>
      <c r="X72" s="274"/>
    </row>
    <row r="73" spans="3:32" s="201" customFormat="1" ht="14.25" customHeight="1">
      <c r="C73" s="1148" t="s">
        <v>200</v>
      </c>
      <c r="D73" s="1148"/>
      <c r="E73" s="1148"/>
      <c r="F73" s="1148"/>
      <c r="G73" s="1148"/>
      <c r="H73" s="1148"/>
      <c r="I73" s="1132"/>
      <c r="J73" s="1132"/>
      <c r="K73" s="1132"/>
      <c r="L73" s="1132"/>
      <c r="M73" s="1132"/>
      <c r="N73" s="1132"/>
      <c r="O73" s="1132"/>
      <c r="P73" s="1132"/>
      <c r="Q73" s="1132"/>
      <c r="R73" s="1132"/>
      <c r="S73" s="1132"/>
      <c r="T73" s="1132"/>
      <c r="U73" s="1132"/>
      <c r="V73" s="1132"/>
      <c r="W73" s="1132"/>
      <c r="X73" s="274"/>
      <c r="Z73" s="273">
        <f>IF(I73="",0,1)</f>
        <v>0</v>
      </c>
      <c r="AF73" s="201">
        <f>Z73</f>
        <v>0</v>
      </c>
    </row>
    <row r="74" spans="2:37" s="201" customFormat="1" ht="12" customHeight="1">
      <c r="B74" s="240"/>
      <c r="C74" s="276" t="s">
        <v>201</v>
      </c>
      <c r="D74" s="276"/>
      <c r="E74" s="276"/>
      <c r="F74" s="276"/>
      <c r="G74" s="276"/>
      <c r="H74" s="276"/>
      <c r="I74" s="276"/>
      <c r="J74" s="276"/>
      <c r="K74" s="1123"/>
      <c r="L74" s="1123"/>
      <c r="M74" s="1123"/>
      <c r="N74" s="1123"/>
      <c r="O74" s="1123"/>
      <c r="P74" s="1123"/>
      <c r="Q74" s="1123"/>
      <c r="R74" s="1125" t="s">
        <v>202</v>
      </c>
      <c r="S74" s="1125"/>
      <c r="T74" s="793">
        <v>0</v>
      </c>
      <c r="U74" s="278"/>
      <c r="V74" s="278"/>
      <c r="W74" s="278"/>
      <c r="X74" s="265"/>
      <c r="Z74" s="273">
        <f>IF(K74="",0,1)</f>
        <v>0</v>
      </c>
      <c r="AA74" s="201">
        <f>IF(T74="",0,1)</f>
        <v>1</v>
      </c>
      <c r="AC74" s="201">
        <f>T74</f>
        <v>0</v>
      </c>
      <c r="AD74" s="201">
        <f>IF(AD77&lt;0,6,1)</f>
        <v>6</v>
      </c>
      <c r="AF74" s="201">
        <f>Z74</f>
        <v>0</v>
      </c>
      <c r="AK74" s="747" t="s">
        <v>92</v>
      </c>
    </row>
    <row r="75" spans="2:37" s="201" customFormat="1" ht="12.75" customHeight="1" hidden="1">
      <c r="B75" s="240"/>
      <c r="C75" s="1140" t="s">
        <v>724</v>
      </c>
      <c r="D75" s="1140"/>
      <c r="E75" s="1140"/>
      <c r="F75" s="1140"/>
      <c r="G75" s="1140"/>
      <c r="H75" s="1140"/>
      <c r="I75" s="1140"/>
      <c r="J75" s="276"/>
      <c r="K75" s="1141">
        <f>IF(alapadatok!D9="","",alapadatok!D9)</f>
        <v>1</v>
      </c>
      <c r="L75" s="1141"/>
      <c r="M75" s="1141"/>
      <c r="N75" s="1141"/>
      <c r="O75" s="1141"/>
      <c r="P75" s="1141"/>
      <c r="Q75" s="1141"/>
      <c r="R75" s="1141"/>
      <c r="S75" s="1141"/>
      <c r="T75" s="1141"/>
      <c r="U75" s="1141"/>
      <c r="V75" s="1141"/>
      <c r="W75" s="1141"/>
      <c r="X75" s="245"/>
      <c r="AF75" s="201">
        <f>AA74</f>
        <v>1</v>
      </c>
      <c r="AG75" s="201">
        <f>AA74</f>
        <v>1</v>
      </c>
      <c r="AK75" s="748"/>
    </row>
    <row r="76" spans="2:37" s="201" customFormat="1" ht="12" customHeight="1">
      <c r="B76" s="240"/>
      <c r="C76" s="1144" t="s">
        <v>203</v>
      </c>
      <c r="D76" s="1144"/>
      <c r="E76" s="1144"/>
      <c r="F76" s="1144"/>
      <c r="G76" s="1144"/>
      <c r="H76" s="1144"/>
      <c r="I76" s="1144"/>
      <c r="J76" s="276"/>
      <c r="K76" s="1124"/>
      <c r="L76" s="1124"/>
      <c r="M76" s="1124"/>
      <c r="N76" s="1124"/>
      <c r="O76" s="1124"/>
      <c r="P76" s="1124"/>
      <c r="Q76" s="1124"/>
      <c r="R76" s="1124"/>
      <c r="S76" s="1124"/>
      <c r="T76" s="1124"/>
      <c r="U76" s="1124"/>
      <c r="V76" s="1124"/>
      <c r="W76" s="1124"/>
      <c r="X76" s="265"/>
      <c r="Z76" s="201">
        <f>IF(K76="",0,1)</f>
        <v>0</v>
      </c>
      <c r="AD76" s="201">
        <v>30000000</v>
      </c>
      <c r="AF76" s="201">
        <f>Z76</f>
        <v>0</v>
      </c>
      <c r="AG76" s="201">
        <f>Z76</f>
        <v>0</v>
      </c>
      <c r="AK76" s="749" t="s">
        <v>444</v>
      </c>
    </row>
    <row r="77" spans="2:37" s="201" customFormat="1" ht="13.5" customHeight="1" thickBot="1">
      <c r="B77" s="240"/>
      <c r="C77" s="1137" t="s">
        <v>204</v>
      </c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269"/>
      <c r="P77" s="1135"/>
      <c r="Q77" s="1135"/>
      <c r="R77" s="1135"/>
      <c r="S77" s="1135"/>
      <c r="T77" s="1135"/>
      <c r="U77" s="1135"/>
      <c r="V77" s="1135"/>
      <c r="W77" s="1135"/>
      <c r="X77" s="265"/>
      <c r="Z77" s="201">
        <f>IF(P77="",0,1)</f>
        <v>0</v>
      </c>
      <c r="AC77" s="201" t="str">
        <f>LEFT(T74,8)</f>
        <v>0</v>
      </c>
      <c r="AD77" s="201">
        <f>AC77-AD76</f>
        <v>-30000000</v>
      </c>
      <c r="AF77" s="201">
        <f>Z77</f>
        <v>0</v>
      </c>
      <c r="AG77" s="201">
        <f>Z77</f>
        <v>0</v>
      </c>
      <c r="AK77" s="273" t="s">
        <v>445</v>
      </c>
    </row>
    <row r="78" spans="2:33" s="201" customFormat="1" ht="12.75" customHeight="1" hidden="1">
      <c r="B78" s="240"/>
      <c r="C78" s="1144"/>
      <c r="D78" s="1144"/>
      <c r="E78" s="1144"/>
      <c r="F78" s="1144"/>
      <c r="G78" s="1144"/>
      <c r="H78" s="1144"/>
      <c r="I78" s="1144"/>
      <c r="J78" s="276"/>
      <c r="K78" s="1136" t="s">
        <v>726</v>
      </c>
      <c r="L78" s="1136"/>
      <c r="M78" s="1136"/>
      <c r="N78" s="1136"/>
      <c r="O78" s="1136"/>
      <c r="P78" s="1136"/>
      <c r="Q78" s="1136"/>
      <c r="R78" s="1136"/>
      <c r="S78" s="1136"/>
      <c r="T78" s="1136"/>
      <c r="U78" s="1136"/>
      <c r="V78" s="1136"/>
      <c r="W78" s="1136"/>
      <c r="X78" s="265"/>
      <c r="AG78" s="201">
        <f aca="true" t="shared" si="4" ref="AG78:AG84">Z78</f>
        <v>0</v>
      </c>
    </row>
    <row r="79" spans="2:42" s="201" customFormat="1" ht="14.25" customHeight="1" thickBot="1">
      <c r="B79" s="240"/>
      <c r="C79" s="1137" t="s">
        <v>205</v>
      </c>
      <c r="D79" s="1137"/>
      <c r="E79" s="1137"/>
      <c r="F79" s="1137"/>
      <c r="G79" s="1137"/>
      <c r="H79" s="1137"/>
      <c r="I79" s="1137"/>
      <c r="J79" s="1137"/>
      <c r="K79" s="1156"/>
      <c r="L79" s="1156"/>
      <c r="M79" s="1156"/>
      <c r="N79" s="1156"/>
      <c r="O79" s="1156"/>
      <c r="P79" s="1156"/>
      <c r="Q79" s="1156"/>
      <c r="R79" s="1156"/>
      <c r="S79" s="1156"/>
      <c r="T79" s="1156"/>
      <c r="U79" s="1156"/>
      <c r="V79" s="1156"/>
      <c r="W79" s="1156"/>
      <c r="X79" s="274"/>
      <c r="Z79" s="201">
        <f>IF(K79="",0,1)</f>
        <v>0</v>
      </c>
      <c r="AF79" s="201">
        <f aca="true" t="shared" si="5" ref="AF79:AF84">Z79</f>
        <v>0</v>
      </c>
      <c r="AG79" s="201">
        <f t="shared" si="4"/>
        <v>0</v>
      </c>
      <c r="AK79" s="1129" t="s">
        <v>446</v>
      </c>
      <c r="AL79" s="1130"/>
      <c r="AM79" s="1130"/>
      <c r="AN79" s="1130"/>
      <c r="AO79" s="1130"/>
      <c r="AP79" s="1117"/>
    </row>
    <row r="80" spans="4:33" s="279" customFormat="1" ht="12.75" customHeight="1" hidden="1"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1"/>
      <c r="Z80" s="279">
        <f>IF(K79="",0,1)</f>
        <v>0</v>
      </c>
      <c r="AA80" s="279">
        <f>IF((Z79+Z80)&lt;1,0,1)</f>
        <v>0</v>
      </c>
      <c r="AF80" s="201">
        <f t="shared" si="5"/>
        <v>0</v>
      </c>
      <c r="AG80" s="201">
        <f t="shared" si="4"/>
        <v>0</v>
      </c>
    </row>
    <row r="81" spans="2:33" s="201" customFormat="1" ht="12.75" customHeight="1" hidden="1">
      <c r="B81" s="240"/>
      <c r="C81" s="1140"/>
      <c r="D81" s="1140"/>
      <c r="E81" s="1140"/>
      <c r="F81" s="1140"/>
      <c r="G81" s="1140"/>
      <c r="H81" s="1140"/>
      <c r="I81" s="1140"/>
      <c r="J81" s="1140"/>
      <c r="K81" s="1140"/>
      <c r="L81" s="1140"/>
      <c r="M81" s="1140"/>
      <c r="N81" s="1140"/>
      <c r="O81" s="1140"/>
      <c r="P81" s="1140"/>
      <c r="Q81" s="1140"/>
      <c r="R81" s="1140"/>
      <c r="S81" s="1140"/>
      <c r="T81" s="1140"/>
      <c r="U81" s="1140"/>
      <c r="V81" s="1140"/>
      <c r="W81" s="1140"/>
      <c r="X81" s="236"/>
      <c r="AF81" s="201">
        <f t="shared" si="5"/>
        <v>0</v>
      </c>
      <c r="AG81" s="201">
        <f t="shared" si="4"/>
        <v>0</v>
      </c>
    </row>
    <row r="82" spans="2:33" s="282" customFormat="1" ht="14.25" customHeight="1">
      <c r="B82" s="283"/>
      <c r="C82" s="1138" t="s">
        <v>206</v>
      </c>
      <c r="D82" s="1138"/>
      <c r="E82" s="1138"/>
      <c r="F82" s="1138"/>
      <c r="G82" s="1138"/>
      <c r="H82" s="1138"/>
      <c r="I82" s="1139"/>
      <c r="J82" s="1139"/>
      <c r="K82" s="1139"/>
      <c r="L82" s="1139"/>
      <c r="M82" s="1139"/>
      <c r="N82" s="1139"/>
      <c r="O82" s="1139"/>
      <c r="P82" s="1139"/>
      <c r="Q82" s="1139"/>
      <c r="R82" s="1139"/>
      <c r="S82" s="1139"/>
      <c r="T82" s="1139"/>
      <c r="U82" s="1139"/>
      <c r="V82" s="1139"/>
      <c r="W82" s="1139"/>
      <c r="X82" s="284"/>
      <c r="Z82" s="201">
        <f>IF(I82="",0,1)</f>
        <v>0</v>
      </c>
      <c r="AF82" s="201">
        <f t="shared" si="5"/>
        <v>0</v>
      </c>
      <c r="AG82" s="201">
        <f t="shared" si="4"/>
        <v>0</v>
      </c>
    </row>
    <row r="83" spans="4:33" s="201" customFormat="1" ht="12.75" customHeight="1" hidden="1"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68"/>
      <c r="Z83" s="201">
        <f>IF(I82="",0,1)</f>
        <v>0</v>
      </c>
      <c r="AA83" s="201">
        <f>IF((Z82+Z83)&lt;1,0,1)</f>
        <v>0</v>
      </c>
      <c r="AF83" s="201">
        <f t="shared" si="5"/>
        <v>0</v>
      </c>
      <c r="AG83" s="201">
        <f t="shared" si="4"/>
        <v>0</v>
      </c>
    </row>
    <row r="84" spans="2:33" s="201" customFormat="1" ht="13.5" customHeight="1">
      <c r="B84" s="240"/>
      <c r="C84" s="1137" t="s">
        <v>207</v>
      </c>
      <c r="D84" s="1137"/>
      <c r="E84" s="1137"/>
      <c r="F84" s="1137"/>
      <c r="G84" s="1137"/>
      <c r="H84" s="1137"/>
      <c r="I84" s="1137"/>
      <c r="J84" s="1137"/>
      <c r="K84" s="1156"/>
      <c r="L84" s="1156"/>
      <c r="M84" s="1156"/>
      <c r="N84" s="1156"/>
      <c r="O84" s="1156"/>
      <c r="P84" s="1156"/>
      <c r="Q84" s="1156"/>
      <c r="R84" s="1156"/>
      <c r="S84" s="1156"/>
      <c r="T84" s="1156"/>
      <c r="U84" s="1156"/>
      <c r="V84" s="1156"/>
      <c r="W84" s="1156"/>
      <c r="X84" s="230"/>
      <c r="Z84" s="201">
        <f>IF(K84="",0,1)</f>
        <v>0</v>
      </c>
      <c r="AF84" s="201">
        <f t="shared" si="5"/>
        <v>0</v>
      </c>
      <c r="AG84" s="201">
        <f t="shared" si="4"/>
        <v>0</v>
      </c>
    </row>
    <row r="85" spans="2:33" s="273" customFormat="1" ht="12" customHeight="1">
      <c r="B85" s="255"/>
      <c r="C85" s="1144" t="s">
        <v>73</v>
      </c>
      <c r="D85" s="1144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280"/>
      <c r="P85" s="1142"/>
      <c r="Q85" s="1142"/>
      <c r="R85" s="1142"/>
      <c r="S85" s="1142"/>
      <c r="T85" s="1142"/>
      <c r="U85" s="1142"/>
      <c r="V85" s="1142"/>
      <c r="W85" s="1142"/>
      <c r="X85" s="285"/>
      <c r="Z85" s="201">
        <f>IF(P85="",0,1)</f>
        <v>0</v>
      </c>
      <c r="AF85" s="201">
        <f>Z86+Z85</f>
        <v>0</v>
      </c>
      <c r="AG85" s="201">
        <f>Z86+Z85</f>
        <v>0</v>
      </c>
    </row>
    <row r="86" spans="2:33" s="201" customFormat="1" ht="15.75" customHeight="1">
      <c r="B86" s="240"/>
      <c r="C86" s="1144" t="s">
        <v>72</v>
      </c>
      <c r="D86" s="1144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276"/>
      <c r="P86" s="1142"/>
      <c r="Q86" s="1142"/>
      <c r="R86" s="1142"/>
      <c r="S86" s="1142"/>
      <c r="T86" s="1142"/>
      <c r="U86" s="1142"/>
      <c r="V86" s="1142"/>
      <c r="W86" s="1142"/>
      <c r="X86" s="265"/>
      <c r="Z86" s="201">
        <f>IF(P86="",0,1)</f>
        <v>0</v>
      </c>
      <c r="AA86" s="201">
        <f>Z86</f>
        <v>0</v>
      </c>
      <c r="AF86" s="201">
        <v>2</v>
      </c>
      <c r="AG86" s="201">
        <f>AD74</f>
        <v>6</v>
      </c>
    </row>
    <row r="87" spans="3:33" s="201" customFormat="1" ht="15.75" customHeight="1">
      <c r="C87" s="1144" t="s">
        <v>208</v>
      </c>
      <c r="D87" s="1144"/>
      <c r="E87" s="1144"/>
      <c r="F87" s="1144"/>
      <c r="G87" s="1144"/>
      <c r="H87" s="1144"/>
      <c r="I87" s="1144"/>
      <c r="J87" s="1144"/>
      <c r="K87" s="1144"/>
      <c r="L87" s="1144"/>
      <c r="M87" s="1144"/>
      <c r="N87" s="1144"/>
      <c r="O87" s="276"/>
      <c r="P87" s="1152" t="s">
        <v>703</v>
      </c>
      <c r="Q87" s="1153"/>
      <c r="R87" s="1153"/>
      <c r="S87" s="1153"/>
      <c r="T87" s="1153"/>
      <c r="U87" s="1153"/>
      <c r="V87" s="1153"/>
      <c r="W87" s="1153"/>
      <c r="X87" s="242"/>
      <c r="AF87" s="202">
        <f>SUM(AF69:AF86)</f>
        <v>3</v>
      </c>
      <c r="AG87" s="202">
        <f>SUM(AG69:AG86)</f>
        <v>7</v>
      </c>
    </row>
    <row r="88" spans="3:27" s="273" customFormat="1" ht="12.75" customHeight="1" hidden="1">
      <c r="C88" s="1143" t="s">
        <v>209</v>
      </c>
      <c r="D88" s="1143"/>
      <c r="E88" s="1143"/>
      <c r="F88" s="1143"/>
      <c r="G88" s="1143"/>
      <c r="H88" s="1143"/>
      <c r="I88" s="1143"/>
      <c r="J88" s="1143"/>
      <c r="K88" s="1143"/>
      <c r="L88" s="1143"/>
      <c r="M88" s="1143"/>
      <c r="N88" s="1143"/>
      <c r="O88" s="287"/>
      <c r="P88" s="288" t="s">
        <v>726</v>
      </c>
      <c r="Q88" s="288"/>
      <c r="R88" s="289" t="s">
        <v>134</v>
      </c>
      <c r="S88" s="289"/>
      <c r="T88" s="288"/>
      <c r="U88" s="289" t="s">
        <v>135</v>
      </c>
      <c r="V88" s="288"/>
      <c r="W88" s="289" t="s">
        <v>210</v>
      </c>
      <c r="X88" s="290">
        <f>IF(P88="",0,1)</f>
        <v>1</v>
      </c>
      <c r="Y88" s="273">
        <f>IF(T88="",0,1)</f>
        <v>0</v>
      </c>
      <c r="Z88" s="273">
        <f>IF(V88="",0,1)</f>
        <v>0</v>
      </c>
      <c r="AA88" s="273">
        <f>IF(X88+Y88+Z88=3,1,0)</f>
        <v>0</v>
      </c>
    </row>
    <row r="89" spans="3:27" s="273" customFormat="1" ht="12.75" customHeight="1" hidden="1">
      <c r="C89" s="1143" t="s">
        <v>211</v>
      </c>
      <c r="D89" s="1143"/>
      <c r="E89" s="1143"/>
      <c r="F89" s="1143"/>
      <c r="G89" s="1143"/>
      <c r="H89" s="1143"/>
      <c r="I89" s="1143"/>
      <c r="J89" s="1143"/>
      <c r="K89" s="1143"/>
      <c r="L89" s="1143"/>
      <c r="M89" s="1143"/>
      <c r="N89" s="1143"/>
      <c r="O89" s="287"/>
      <c r="P89" s="288" t="s">
        <v>726</v>
      </c>
      <c r="Q89" s="288"/>
      <c r="R89" s="289" t="s">
        <v>134</v>
      </c>
      <c r="S89" s="289"/>
      <c r="T89" s="288"/>
      <c r="U89" s="289" t="s">
        <v>135</v>
      </c>
      <c r="V89" s="288"/>
      <c r="W89" s="289" t="s">
        <v>210</v>
      </c>
      <c r="X89" s="290">
        <f>IF(P89="",0,1)</f>
        <v>1</v>
      </c>
      <c r="Y89" s="273">
        <f>IF(T89="",0,1)</f>
        <v>0</v>
      </c>
      <c r="Z89" s="273">
        <f>IF(V89="",0,1)</f>
        <v>0</v>
      </c>
      <c r="AA89" s="273">
        <f>IF(X89+Y89+Z89=3,1,0)</f>
        <v>0</v>
      </c>
    </row>
    <row r="90" spans="3:29" s="273" customFormat="1" ht="12.75" customHeight="1" hidden="1">
      <c r="C90" s="1143" t="s">
        <v>212</v>
      </c>
      <c r="D90" s="1143"/>
      <c r="E90" s="1143"/>
      <c r="F90" s="1143"/>
      <c r="G90" s="1143"/>
      <c r="H90" s="1143"/>
      <c r="I90" s="1143"/>
      <c r="J90" s="1143"/>
      <c r="K90" s="1143"/>
      <c r="L90" s="1143"/>
      <c r="M90" s="1143"/>
      <c r="N90" s="1143"/>
      <c r="O90" s="287"/>
      <c r="P90" s="288"/>
      <c r="Q90" s="288"/>
      <c r="R90" s="289" t="s">
        <v>134</v>
      </c>
      <c r="S90" s="289" t="s">
        <v>726</v>
      </c>
      <c r="T90" s="288"/>
      <c r="U90" s="289" t="s">
        <v>135</v>
      </c>
      <c r="V90" s="288"/>
      <c r="W90" s="289" t="s">
        <v>210</v>
      </c>
      <c r="X90" s="290">
        <f>IF(P90="",0,1)</f>
        <v>0</v>
      </c>
      <c r="Y90" s="273">
        <f>IF(T90="",0,1)</f>
        <v>0</v>
      </c>
      <c r="Z90" s="273">
        <f>IF(V90="",0,1)</f>
        <v>0</v>
      </c>
      <c r="AA90" s="273">
        <f>IF(X90+Y90+Z90=3,1,0)</f>
        <v>0</v>
      </c>
      <c r="AB90" s="273">
        <f>X90+Y90+Z90</f>
        <v>0</v>
      </c>
      <c r="AC90" s="273">
        <f>IF((AB90&lt;3),0,1)</f>
        <v>0</v>
      </c>
    </row>
    <row r="91" spans="3:27" s="273" customFormat="1" ht="12.75" customHeight="1" hidden="1">
      <c r="C91" s="1154"/>
      <c r="D91" s="1154"/>
      <c r="E91" s="1154"/>
      <c r="F91" s="1154"/>
      <c r="G91" s="1154"/>
      <c r="H91" s="1154"/>
      <c r="I91" s="1154"/>
      <c r="J91" s="289"/>
      <c r="K91" s="290"/>
      <c r="L91" s="290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AA91" s="273">
        <f>SUM(AA88:AA89)</f>
        <v>0</v>
      </c>
    </row>
    <row r="92" spans="3:24" s="273" customFormat="1" ht="12.75" customHeight="1" hidden="1">
      <c r="C92" s="1154"/>
      <c r="D92" s="1154"/>
      <c r="E92" s="1154"/>
      <c r="F92" s="1154"/>
      <c r="G92" s="1154"/>
      <c r="H92" s="1154"/>
      <c r="I92" s="1154"/>
      <c r="J92" s="289"/>
      <c r="K92" s="290"/>
      <c r="L92" s="290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</row>
    <row r="93" spans="2:35" ht="12.75">
      <c r="B93" s="257" t="s">
        <v>213</v>
      </c>
      <c r="AH93" s="202">
        <f>MAX(AF87:AG87)</f>
        <v>7</v>
      </c>
      <c r="AI93" s="235">
        <f>IF(AH93=17,1,0)</f>
        <v>0</v>
      </c>
    </row>
    <row r="94" spans="2:35" ht="6" customHeight="1">
      <c r="B94" s="257"/>
      <c r="AI94" s="235"/>
    </row>
    <row r="95" spans="2:33" ht="12.75" customHeight="1">
      <c r="B95" s="892" t="s">
        <v>604</v>
      </c>
      <c r="AF95" s="201"/>
      <c r="AG95" s="201"/>
    </row>
    <row r="96" spans="32:33" ht="4.5" customHeight="1">
      <c r="AF96" s="201"/>
      <c r="AG96" s="201"/>
    </row>
    <row r="97" spans="3:30" s="201" customFormat="1" ht="13.5" customHeight="1">
      <c r="C97" s="292"/>
      <c r="E97" s="1158" t="s">
        <v>603</v>
      </c>
      <c r="F97" s="1158"/>
      <c r="G97" s="1158"/>
      <c r="H97" s="1158"/>
      <c r="I97" s="1158"/>
      <c r="J97" s="1158"/>
      <c r="K97" s="1158"/>
      <c r="L97" s="1158"/>
      <c r="M97" s="1158"/>
      <c r="N97" s="1158"/>
      <c r="O97" s="1158"/>
      <c r="P97" s="1158"/>
      <c r="Q97" s="1158"/>
      <c r="R97" s="1158"/>
      <c r="S97" s="1158"/>
      <c r="T97" s="1158"/>
      <c r="U97" s="1158"/>
      <c r="V97" s="1158"/>
      <c r="W97" s="1158"/>
      <c r="Z97" s="201">
        <f>IF(C97="",0,1)</f>
        <v>0</v>
      </c>
      <c r="AD97" s="201">
        <f>alapadatok!D161</f>
        <v>0</v>
      </c>
    </row>
    <row r="98" s="201" customFormat="1" ht="3" customHeight="1"/>
    <row r="99" spans="3:30" s="201" customFormat="1" ht="13.5" customHeight="1">
      <c r="C99" s="292"/>
      <c r="D99" s="293"/>
      <c r="E99" s="1158" t="s">
        <v>605</v>
      </c>
      <c r="F99" s="1158"/>
      <c r="G99" s="1158"/>
      <c r="H99" s="1158"/>
      <c r="I99" s="1158"/>
      <c r="J99" s="1158"/>
      <c r="K99" s="1158"/>
      <c r="L99" s="1158"/>
      <c r="M99" s="1158"/>
      <c r="N99" s="1158"/>
      <c r="O99" s="1158"/>
      <c r="P99" s="1158"/>
      <c r="Q99" s="1158"/>
      <c r="R99" s="1158"/>
      <c r="S99" s="1158"/>
      <c r="T99" s="1158"/>
      <c r="U99" s="1158"/>
      <c r="V99" s="1158"/>
      <c r="W99" s="1158"/>
      <c r="X99" s="242"/>
      <c r="Z99" s="201">
        <f>IF(C99="",0,1)</f>
        <v>0</v>
      </c>
      <c r="AD99" s="201">
        <f>alapadatok!D160</f>
        <v>0</v>
      </c>
    </row>
    <row r="100" spans="3:24" s="201" customFormat="1" ht="2.25" customHeight="1"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75"/>
      <c r="Q100" s="275"/>
      <c r="R100" s="275"/>
      <c r="S100" s="275"/>
      <c r="T100" s="275"/>
      <c r="U100" s="275"/>
      <c r="V100" s="295"/>
      <c r="W100" s="295"/>
      <c r="X100" s="296"/>
    </row>
    <row r="101" spans="3:30" s="201" customFormat="1" ht="12.75" customHeight="1">
      <c r="C101" s="292"/>
      <c r="E101" s="1158" t="s">
        <v>606</v>
      </c>
      <c r="F101" s="1158"/>
      <c r="G101" s="1158"/>
      <c r="H101" s="1158"/>
      <c r="I101" s="1158"/>
      <c r="J101" s="1158"/>
      <c r="K101" s="1158"/>
      <c r="L101" s="1158"/>
      <c r="M101" s="1158"/>
      <c r="N101" s="1158"/>
      <c r="O101" s="1158"/>
      <c r="P101" s="1158"/>
      <c r="Q101" s="1158"/>
      <c r="R101" s="1158"/>
      <c r="S101" s="1158"/>
      <c r="T101" s="1158"/>
      <c r="U101" s="1158"/>
      <c r="V101" s="1158"/>
      <c r="W101" s="1158"/>
      <c r="Z101" s="201">
        <f>IF(C101="",0,1)</f>
        <v>0</v>
      </c>
      <c r="AD101" s="201">
        <f>alapadatok!H162</f>
        <v>0</v>
      </c>
    </row>
    <row r="102" s="201" customFormat="1" ht="3" customHeight="1"/>
    <row r="103" spans="3:30" s="201" customFormat="1" ht="13.5" customHeight="1" hidden="1">
      <c r="C103" s="292">
        <f>IF(AD103=0,"","X")</f>
      </c>
      <c r="E103" s="1158" t="s">
        <v>842</v>
      </c>
      <c r="F103" s="1158"/>
      <c r="G103" s="1158"/>
      <c r="H103" s="1158"/>
      <c r="I103" s="1158"/>
      <c r="J103" s="1158"/>
      <c r="K103" s="1158"/>
      <c r="L103" s="1158"/>
      <c r="M103" s="1158"/>
      <c r="N103" s="1158"/>
      <c r="O103" s="1158"/>
      <c r="P103" s="1158"/>
      <c r="Q103" s="1158"/>
      <c r="R103" s="1158"/>
      <c r="S103" s="1158"/>
      <c r="T103" s="1158"/>
      <c r="U103" s="1158"/>
      <c r="V103" s="1158"/>
      <c r="W103" s="1158"/>
      <c r="Z103" s="201">
        <f>IF(C103="",0,1)</f>
        <v>0</v>
      </c>
      <c r="AD103" s="201">
        <f>alapadatok!D162</f>
        <v>0</v>
      </c>
    </row>
    <row r="104" spans="3:24" s="201" customFormat="1" ht="1.5" customHeight="1" hidden="1">
      <c r="C104" s="1148"/>
      <c r="D104" s="1148"/>
      <c r="E104" s="1148"/>
      <c r="F104" s="1148"/>
      <c r="G104" s="1148"/>
      <c r="H104" s="1148"/>
      <c r="I104" s="1149"/>
      <c r="J104" s="1149"/>
      <c r="K104" s="1149"/>
      <c r="L104" s="1149"/>
      <c r="M104" s="1149"/>
      <c r="N104" s="1149"/>
      <c r="O104" s="1149"/>
      <c r="P104" s="1149"/>
      <c r="Q104" s="1149"/>
      <c r="R104" s="1149"/>
      <c r="S104" s="1149"/>
      <c r="T104" s="1149"/>
      <c r="U104" s="1149"/>
      <c r="V104" s="1149"/>
      <c r="W104" s="1149"/>
      <c r="X104" s="274"/>
    </row>
    <row r="105" spans="3:30" s="201" customFormat="1" ht="13.5" customHeight="1" hidden="1">
      <c r="C105" s="292">
        <f>IF(C99="","","X")</f>
      </c>
      <c r="D105" s="276"/>
      <c r="E105" s="1158" t="s">
        <v>605</v>
      </c>
      <c r="F105" s="1158"/>
      <c r="G105" s="1158"/>
      <c r="H105" s="1158"/>
      <c r="I105" s="1158"/>
      <c r="J105" s="1158"/>
      <c r="K105" s="1158"/>
      <c r="L105" s="1158"/>
      <c r="M105" s="1158"/>
      <c r="N105" s="1158"/>
      <c r="O105" s="1158"/>
      <c r="P105" s="1158"/>
      <c r="Q105" s="1158"/>
      <c r="R105" s="1158"/>
      <c r="S105" s="1158"/>
      <c r="T105" s="1158"/>
      <c r="U105" s="1158"/>
      <c r="V105" s="1158"/>
      <c r="W105" s="1158"/>
      <c r="X105" s="274"/>
      <c r="Z105" s="1014">
        <v>0</v>
      </c>
      <c r="AA105" s="201">
        <f>Z97+Z99+Z105+Z101</f>
        <v>0</v>
      </c>
      <c r="AB105" s="297">
        <f>IF(AA105&gt;0,1,0)</f>
        <v>0</v>
      </c>
      <c r="AC105" s="201">
        <f>MAX(AB105:AB106)</f>
        <v>1</v>
      </c>
      <c r="AD105" s="201">
        <f>alapadatok!D163</f>
        <v>0</v>
      </c>
    </row>
    <row r="106" spans="3:28" s="201" customFormat="1" ht="12.75" hidden="1">
      <c r="C106" s="275"/>
      <c r="D106" s="275"/>
      <c r="E106" s="1158" t="s">
        <v>214</v>
      </c>
      <c r="F106" s="1158"/>
      <c r="G106" s="1158"/>
      <c r="H106" s="1158"/>
      <c r="I106" s="1158"/>
      <c r="J106" s="1158"/>
      <c r="K106" s="1158"/>
      <c r="L106" s="1158"/>
      <c r="M106" s="1158"/>
      <c r="N106" s="1158"/>
      <c r="O106" s="1158"/>
      <c r="P106" s="1158"/>
      <c r="Q106" s="1158"/>
      <c r="R106" s="1158"/>
      <c r="S106" s="1158"/>
      <c r="T106" s="1158"/>
      <c r="U106" s="1158"/>
      <c r="V106" s="1158"/>
      <c r="W106" s="1158"/>
      <c r="X106" s="296"/>
      <c r="AB106" s="201">
        <v>1</v>
      </c>
    </row>
    <row r="107" spans="3:24" s="201" customFormat="1" ht="0.75" customHeight="1" hidden="1">
      <c r="C107" s="275"/>
      <c r="D107" s="275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96"/>
    </row>
    <row r="108" spans="3:30" s="201" customFormat="1" ht="14.25" customHeight="1" hidden="1">
      <c r="C108" s="292">
        <f>IF(AD108=0,"","X")</f>
      </c>
      <c r="D108" s="230"/>
      <c r="E108" s="1158" t="s">
        <v>843</v>
      </c>
      <c r="F108" s="1158"/>
      <c r="G108" s="1158"/>
      <c r="H108" s="1158"/>
      <c r="I108" s="1158"/>
      <c r="J108" s="1158"/>
      <c r="K108" s="1158"/>
      <c r="L108" s="1158"/>
      <c r="M108" s="1158"/>
      <c r="N108" s="1158"/>
      <c r="O108" s="1158"/>
      <c r="P108" s="1158"/>
      <c r="Q108" s="1158"/>
      <c r="R108" s="1158"/>
      <c r="S108" s="1158"/>
      <c r="T108" s="1158"/>
      <c r="U108" s="1158"/>
      <c r="V108" s="1158"/>
      <c r="W108" s="1158"/>
      <c r="X108" s="242"/>
      <c r="Z108" s="201">
        <f>IF(C108="",0,1)</f>
        <v>0</v>
      </c>
      <c r="AA108" s="201">
        <f>Z101+Z103+Z108</f>
        <v>0</v>
      </c>
      <c r="AB108" s="297">
        <f>IF(AA108&gt;0,1,0)</f>
        <v>0</v>
      </c>
      <c r="AC108" s="201">
        <f>MAX(AB108:AB109)</f>
        <v>1</v>
      </c>
      <c r="AD108" s="201">
        <f>alapadatok!D164</f>
        <v>0</v>
      </c>
    </row>
    <row r="109" spans="3:28" s="201" customFormat="1" ht="12.75" hidden="1">
      <c r="C109" s="230"/>
      <c r="D109" s="230"/>
      <c r="E109" s="1158" t="s">
        <v>215</v>
      </c>
      <c r="F109" s="1158"/>
      <c r="G109" s="1158"/>
      <c r="H109" s="1158"/>
      <c r="I109" s="1158"/>
      <c r="J109" s="1158"/>
      <c r="K109" s="1158"/>
      <c r="L109" s="1158"/>
      <c r="M109" s="1158"/>
      <c r="N109" s="1158"/>
      <c r="O109" s="1158"/>
      <c r="P109" s="1158"/>
      <c r="Q109" s="1158"/>
      <c r="R109" s="1158"/>
      <c r="S109" s="1158"/>
      <c r="T109" s="1158"/>
      <c r="U109" s="1158"/>
      <c r="V109" s="1158"/>
      <c r="W109" s="1158"/>
      <c r="X109" s="242"/>
      <c r="AB109" s="201">
        <v>1</v>
      </c>
    </row>
    <row r="110" spans="3:24" s="201" customFormat="1" ht="12.75" customHeight="1" hidden="1">
      <c r="C110" s="230"/>
      <c r="D110" s="230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</row>
    <row r="111" s="201" customFormat="1" ht="12.75" customHeight="1" hidden="1"/>
    <row r="112" s="201" customFormat="1" ht="12.75" customHeight="1" hidden="1"/>
    <row r="113" spans="32:33" s="201" customFormat="1" ht="12.75" customHeight="1" hidden="1">
      <c r="AF113" s="202"/>
      <c r="AG113" s="202"/>
    </row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spans="2:26" ht="12.75" customHeight="1" hidden="1">
      <c r="B122" s="239"/>
      <c r="C122" s="240"/>
      <c r="D122" s="240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Z122" s="201"/>
    </row>
    <row r="123" spans="2:26" ht="12.75" customHeight="1" hidden="1">
      <c r="B123" s="239"/>
      <c r="C123" s="240"/>
      <c r="D123" s="240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Z123" s="201"/>
    </row>
    <row r="124" spans="2:26" ht="10.5" customHeight="1">
      <c r="B124" s="298">
        <f>IF(C124="",0,1)</f>
        <v>0</v>
      </c>
      <c r="C124" s="299">
        <f>IF(AA108&gt;1,"Hibás az egyszerűsített választás következő évre. VI. pont","")</f>
      </c>
      <c r="D124" s="240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Z124" s="201"/>
    </row>
    <row r="125" spans="2:26" ht="10.5" customHeight="1">
      <c r="B125" s="298">
        <f>IF(C125="",0,1)</f>
        <v>0</v>
      </c>
      <c r="C125" s="299">
        <f>IF(AA105&gt;1,"Hibás az egyszerűsített választás tárgyévre. VI. pont","")</f>
      </c>
      <c r="D125" s="240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Z125" s="201"/>
    </row>
    <row r="126" spans="2:3" s="273" customFormat="1" ht="10.5" customHeight="1">
      <c r="B126" s="298">
        <f>IF(C126="",0,1)</f>
        <v>0</v>
      </c>
      <c r="C126" s="235">
        <f>IF(AI57&gt;0,"  Hiba  3.  pont: Csak záró bevallás esetén jelöljön okot / ha záró bevallás egy okot jelöljön meg!","")</f>
      </c>
    </row>
    <row r="127" spans="2:4" ht="10.5" customHeight="1">
      <c r="B127" s="300">
        <f>IF(C127="",0,1)</f>
        <v>1</v>
      </c>
      <c r="C127" s="235" t="str">
        <f>IF(AB131=12,"","Hiba  1. Pont: Túl kevés adatot adott meg!")</f>
        <v>Hiba  1. Pont: Túl kevés adatot adott meg!</v>
      </c>
      <c r="D127" s="235"/>
    </row>
    <row r="128" spans="2:4" ht="12.75" hidden="1">
      <c r="B128" s="300"/>
      <c r="C128" s="235" t="str">
        <f>IF(AA108=2,"","Hiba  2. Pont: Jelölje a bevallási időszak kezdő és záró dátumát!")</f>
        <v>Hiba  2. Pont: Jelölje a bevallási időszak kezdő és záró dátumát!</v>
      </c>
      <c r="D128" s="235"/>
    </row>
    <row r="129" spans="2:4" ht="12" customHeight="1">
      <c r="B129" s="300">
        <f>IF(C129="",0,1)</f>
        <v>1</v>
      </c>
      <c r="C129" s="235" t="str">
        <f>IF(AA38=1,"","Hiba  1. Pont: Jelölje a bevallási jellegét / csak egyet jelöljön!")</f>
        <v>Hiba  1. Pont: Jelölje a bevallási jellegét / csak egyet jelöljön!</v>
      </c>
      <c r="D129" s="235"/>
    </row>
    <row r="130" spans="2:4" ht="12" customHeight="1">
      <c r="B130" s="300"/>
      <c r="C130" s="235">
        <f>IF(AD29=1,"","Hiba  1./3.. Pont: A megszűnés időpontját és a záró bevallás jelleget egyszerre lehet csak jelölni!")</f>
      </c>
      <c r="D130" s="235"/>
    </row>
    <row r="131" spans="2:28" ht="12" customHeight="1">
      <c r="B131" s="300">
        <f>SUM(B124:B130)+'F.LAP'!A55</f>
        <v>2</v>
      </c>
      <c r="C131" s="301" t="str">
        <f>IF(B131=0,"E L L E N Ő R Z Ö T T","H I B Á S")</f>
        <v>H I B Á S</v>
      </c>
      <c r="D131" s="301"/>
      <c r="M131" s="302" t="str">
        <f>IF(Y131=0,""," VAN HIBÁS LAP !")</f>
        <v> VAN HIBÁS LAP !</v>
      </c>
      <c r="N131" s="302"/>
      <c r="O131" s="302"/>
      <c r="T131" s="794" t="s">
        <v>450</v>
      </c>
      <c r="W131" s="303">
        <f>IF(C131="E L L E N Ő R Z Ö T T",0,1)</f>
        <v>1</v>
      </c>
      <c r="X131" s="304"/>
      <c r="Y131" s="908">
        <f>W131+'x2_oldal'!AA54+'2. oldal'!K98+'x4_ oldal'!AD68+'A.LAP'!M46+'F.LAP'!N55+B_LAP!M45+C_LAP!M43+D_LAP!M45+E_LAP!M55+Kiegadat!M36</f>
        <v>1</v>
      </c>
      <c r="AB131" s="202">
        <f>AC108+AC105+AI93+AI57+AG41+AB36</f>
        <v>4</v>
      </c>
    </row>
  </sheetData>
  <sheetProtection password="C21D" sheet="1" objects="1" scenarios="1"/>
  <mergeCells count="88">
    <mergeCell ref="G36:W36"/>
    <mergeCell ref="AK79:AP79"/>
    <mergeCell ref="B16:W16"/>
    <mergeCell ref="T25:W25"/>
    <mergeCell ref="B26:N26"/>
    <mergeCell ref="U26:W26"/>
    <mergeCell ref="N41:O41"/>
    <mergeCell ref="P41:Q41"/>
    <mergeCell ref="B39:N39"/>
    <mergeCell ref="G46:W46"/>
    <mergeCell ref="B41:C41"/>
    <mergeCell ref="F41:K41"/>
    <mergeCell ref="C43:AF43"/>
    <mergeCell ref="G45:W45"/>
    <mergeCell ref="G56:W56"/>
    <mergeCell ref="G54:W54"/>
    <mergeCell ref="G50:W50"/>
    <mergeCell ref="G51:W51"/>
    <mergeCell ref="G52:W52"/>
    <mergeCell ref="G53:W53"/>
    <mergeCell ref="G55:W55"/>
    <mergeCell ref="G48:W48"/>
    <mergeCell ref="G49:W49"/>
    <mergeCell ref="G47:W47"/>
    <mergeCell ref="C81:W81"/>
    <mergeCell ref="C73:H73"/>
    <mergeCell ref="I73:W73"/>
    <mergeCell ref="C76:I76"/>
    <mergeCell ref="K76:W76"/>
    <mergeCell ref="K74:Q74"/>
    <mergeCell ref="R74:S74"/>
    <mergeCell ref="G57:W57"/>
    <mergeCell ref="C69:J69"/>
    <mergeCell ref="K69:W69"/>
    <mergeCell ref="C72:H72"/>
    <mergeCell ref="I72:W72"/>
    <mergeCell ref="C71:G71"/>
    <mergeCell ref="H71:P71"/>
    <mergeCell ref="I82:W82"/>
    <mergeCell ref="C84:J84"/>
    <mergeCell ref="C75:I75"/>
    <mergeCell ref="K75:W75"/>
    <mergeCell ref="C77:N77"/>
    <mergeCell ref="C92:I92"/>
    <mergeCell ref="C87:N87"/>
    <mergeCell ref="S71:V71"/>
    <mergeCell ref="P77:W77"/>
    <mergeCell ref="C85:N85"/>
    <mergeCell ref="C78:I78"/>
    <mergeCell ref="K78:W78"/>
    <mergeCell ref="C79:J79"/>
    <mergeCell ref="K79:W79"/>
    <mergeCell ref="C82:H82"/>
    <mergeCell ref="P85:W85"/>
    <mergeCell ref="C88:N88"/>
    <mergeCell ref="C89:N89"/>
    <mergeCell ref="C90:N90"/>
    <mergeCell ref="C86:N86"/>
    <mergeCell ref="P86:W86"/>
    <mergeCell ref="E109:W109"/>
    <mergeCell ref="E103:W103"/>
    <mergeCell ref="C104:H104"/>
    <mergeCell ref="I104:W104"/>
    <mergeCell ref="E105:W105"/>
    <mergeCell ref="E108:W108"/>
    <mergeCell ref="B11:W11"/>
    <mergeCell ref="B12:W12"/>
    <mergeCell ref="B14:J14"/>
    <mergeCell ref="S14:W14"/>
    <mergeCell ref="G34:W34"/>
    <mergeCell ref="G35:W35"/>
    <mergeCell ref="E99:W99"/>
    <mergeCell ref="E106:W106"/>
    <mergeCell ref="E101:W101"/>
    <mergeCell ref="P87:W87"/>
    <mergeCell ref="C91:I91"/>
    <mergeCell ref="U37:W37"/>
    <mergeCell ref="E97:W97"/>
    <mergeCell ref="K84:W84"/>
    <mergeCell ref="G31:W31"/>
    <mergeCell ref="G32:W32"/>
    <mergeCell ref="G33:W33"/>
    <mergeCell ref="B13:W13"/>
    <mergeCell ref="K14:R14"/>
    <mergeCell ref="B15:W15"/>
    <mergeCell ref="G30:W30"/>
    <mergeCell ref="G28:W28"/>
    <mergeCell ref="G29:W29"/>
  </mergeCells>
  <hyperlinks>
    <hyperlink ref="AK79" r:id="rId1" display="http://portal.ksh.hu/pls/portal/vb.teaor_main.gszr_main1"/>
    <hyperlink ref="T131" r:id="rId2" display="www.iparuzes.hu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05"/>
  <sheetViews>
    <sheetView showGridLines="0" view="pageBreakPreview" zoomScaleSheetLayoutView="100" zoomScalePageLayoutView="0" workbookViewId="0" topLeftCell="A26">
      <selection activeCell="N81" sqref="N81"/>
    </sheetView>
  </sheetViews>
  <sheetFormatPr defaultColWidth="5.421875" defaultRowHeight="12.75"/>
  <cols>
    <col min="1" max="1" width="5.00390625" style="336" customWidth="1"/>
    <col min="2" max="2" width="4.57421875" style="336" customWidth="1"/>
    <col min="3" max="3" width="2.7109375" style="336" customWidth="1"/>
    <col min="4" max="4" width="23.28125" style="336" customWidth="1"/>
    <col min="5" max="5" width="13.7109375" style="337" customWidth="1"/>
    <col min="6" max="6" width="5.28125" style="337" customWidth="1"/>
    <col min="7" max="7" width="4.57421875" style="337" customWidth="1"/>
    <col min="8" max="8" width="16.7109375" style="336" customWidth="1"/>
    <col min="9" max="9" width="4.7109375" style="336" customWidth="1"/>
    <col min="10" max="13" width="5.421875" style="336" hidden="1" customWidth="1"/>
    <col min="14" max="14" width="6.7109375" style="336" customWidth="1"/>
    <col min="15" max="15" width="5.140625" style="336" customWidth="1"/>
    <col min="16" max="16" width="3.28125" style="336" customWidth="1"/>
    <col min="17" max="17" width="12.57421875" style="336" hidden="1" customWidth="1"/>
    <col min="18" max="18" width="9.28125" style="336" hidden="1" customWidth="1"/>
    <col min="19" max="19" width="8.28125" style="336" hidden="1" customWidth="1"/>
    <col min="20" max="20" width="12.140625" style="336" hidden="1" customWidth="1"/>
    <col min="21" max="21" width="18.57421875" style="336" hidden="1" customWidth="1"/>
    <col min="22" max="29" width="5.421875" style="338" hidden="1" customWidth="1"/>
    <col min="30" max="34" width="5.421875" style="336" hidden="1" customWidth="1"/>
    <col min="35" max="35" width="5.421875" style="336" customWidth="1"/>
    <col min="36" max="36" width="5.57421875" style="336" customWidth="1"/>
    <col min="37" max="39" width="5.421875" style="336" customWidth="1"/>
    <col min="40" max="40" width="13.00390625" style="336" customWidth="1"/>
    <col min="41" max="16384" width="5.421875" style="336" customWidth="1"/>
  </cols>
  <sheetData>
    <row r="1" spans="1:35" ht="15.75" hidden="1">
      <c r="A1" s="339" t="str">
        <f>IF(A52="","",A52)</f>
        <v>II.</v>
      </c>
      <c r="B1" s="339" t="str">
        <f>IF(E52="","",E52)</f>
        <v>Alkalmazott adóalap megosztás módszere:</v>
      </c>
      <c r="C1" s="339"/>
      <c r="D1" s="339"/>
      <c r="G1" s="340"/>
      <c r="H1" s="340"/>
      <c r="I1" s="340"/>
      <c r="J1" s="340"/>
      <c r="K1" s="340">
        <f>IF(K52="","",K52)</f>
      </c>
      <c r="L1" s="340"/>
      <c r="Q1" s="341"/>
      <c r="R1" s="341"/>
      <c r="S1" s="341"/>
      <c r="T1" s="341"/>
      <c r="U1" s="341"/>
      <c r="W1" s="342"/>
      <c r="X1" s="342"/>
      <c r="Y1" s="342"/>
      <c r="Z1" s="342"/>
      <c r="AA1" s="342"/>
      <c r="AB1" s="342"/>
      <c r="AC1" s="342"/>
      <c r="AD1" s="343"/>
      <c r="AE1" s="343"/>
      <c r="AF1" s="343"/>
      <c r="AG1" s="343"/>
      <c r="AH1" s="343"/>
      <c r="AI1" s="343"/>
    </row>
    <row r="2" spans="1:35" ht="12.75" customHeight="1" hidden="1">
      <c r="A2" s="339"/>
      <c r="B2" s="339"/>
      <c r="C2" s="339"/>
      <c r="D2" s="339"/>
      <c r="E2" s="339"/>
      <c r="F2" s="339"/>
      <c r="G2" s="340"/>
      <c r="H2" s="340"/>
      <c r="I2" s="340"/>
      <c r="J2" s="340"/>
      <c r="K2" s="340"/>
      <c r="L2" s="340"/>
      <c r="Q2" s="341"/>
      <c r="R2" s="341"/>
      <c r="S2" s="341"/>
      <c r="T2" s="341"/>
      <c r="U2" s="341"/>
      <c r="W2" s="342"/>
      <c r="X2" s="342"/>
      <c r="Y2" s="342"/>
      <c r="Z2" s="342"/>
      <c r="AA2" s="342"/>
      <c r="AB2" s="342"/>
      <c r="AC2" s="342"/>
      <c r="AD2" s="343"/>
      <c r="AE2" s="343"/>
      <c r="AF2" s="343"/>
      <c r="AG2" s="343"/>
      <c r="AH2" s="343"/>
      <c r="AI2" s="343"/>
    </row>
    <row r="3" spans="1:35" ht="12.75" customHeight="1" hidden="1">
      <c r="A3" s="344"/>
      <c r="B3" s="345">
        <f>IF(K56="","",K56)</f>
      </c>
      <c r="C3" s="346"/>
      <c r="D3" s="347" t="str">
        <f>IF(E56="","",E56)</f>
        <v>1. Személyi jellegű ráfordítással arányos</v>
      </c>
      <c r="E3" s="336"/>
      <c r="F3" s="336"/>
      <c r="G3" s="340">
        <f aca="true" t="shared" si="0" ref="G3:K4">IF(G56="","",G56)</f>
      </c>
      <c r="H3" s="340">
        <f t="shared" si="0"/>
      </c>
      <c r="I3" s="340">
        <f t="shared" si="0"/>
      </c>
      <c r="J3" s="340">
        <f t="shared" si="0"/>
      </c>
      <c r="K3" s="340">
        <f t="shared" si="0"/>
      </c>
      <c r="L3" s="344"/>
      <c r="M3" s="348"/>
      <c r="N3" s="348"/>
      <c r="O3" s="348"/>
      <c r="Q3" s="349" t="e">
        <f>ROUND('F.LAP'!K24/('F.LAP'!K24+'F.LAP'!K27+'F.LAP'!K29+'F.LAP'!K31)*Q18,0)/Q18</f>
        <v>#DIV/0!</v>
      </c>
      <c r="R3" s="350" t="e">
        <f>ROUND(Q3*$H$27/'F.LAP'!AA33,6)</f>
        <v>#DIV/0!</v>
      </c>
      <c r="S3" s="351">
        <f>IF('F.LAP'!K24=0,0,ROUND('F.LAP'!K25/'F.LAP'!K24*Q18,0)/Q18)</f>
        <v>0</v>
      </c>
      <c r="T3" s="352" t="e">
        <f>ROUND(R3*S3,6)</f>
        <v>#DIV/0!</v>
      </c>
      <c r="U3" s="704">
        <f>IF(S3=0,0,T3)</f>
        <v>0</v>
      </c>
      <c r="W3" s="342"/>
      <c r="X3" s="342"/>
      <c r="Y3" s="342"/>
      <c r="Z3" s="342"/>
      <c r="AA3" s="342"/>
      <c r="AB3" s="342"/>
      <c r="AC3" s="342"/>
      <c r="AD3" s="343"/>
      <c r="AE3" s="343"/>
      <c r="AF3" s="343"/>
      <c r="AG3" s="343"/>
      <c r="AH3" s="343"/>
      <c r="AI3" s="343"/>
    </row>
    <row r="4" spans="1:35" ht="12.75" customHeight="1" hidden="1">
      <c r="A4" s="353"/>
      <c r="B4" s="345">
        <f>IF(K57="","",K57)</f>
      </c>
      <c r="C4" s="346"/>
      <c r="D4" s="347" t="str">
        <f>IF(E57="","",E57)</f>
        <v>2. Eszközérték arányos</v>
      </c>
      <c r="E4" s="336"/>
      <c r="F4" s="336"/>
      <c r="G4" s="340">
        <f t="shared" si="0"/>
      </c>
      <c r="H4" s="340">
        <f t="shared" si="0"/>
      </c>
      <c r="I4" s="340">
        <f t="shared" si="0"/>
      </c>
      <c r="J4" s="340">
        <f t="shared" si="0"/>
      </c>
      <c r="K4" s="340">
        <f t="shared" si="0"/>
      </c>
      <c r="L4" s="340"/>
      <c r="Q4" s="354" t="e">
        <f>ROUND('F.LAP'!AA31/('F.LAP'!AA29)*Q18,0)/Q18</f>
        <v>#DIV/0!</v>
      </c>
      <c r="R4" s="350" t="e">
        <f>ROUND(Q4*$H$27/'F.LAP'!AA33,6)</f>
        <v>#DIV/0!</v>
      </c>
      <c r="S4" s="351">
        <f>IF('F.LAP'!K29=0,0,ROUND('F.LAP'!AA31/'F.LAP'!AA29*Q18,0)/Q18)</f>
        <v>0</v>
      </c>
      <c r="T4" s="352" t="e">
        <f>ROUND(R4*S4,6)</f>
        <v>#DIV/0!</v>
      </c>
      <c r="U4" s="704">
        <f aca="true" t="shared" si="1" ref="U4:U9">IF(S4=0,0,R4)</f>
        <v>0</v>
      </c>
      <c r="W4" s="342"/>
      <c r="X4" s="342"/>
      <c r="Y4" s="342"/>
      <c r="Z4" s="342"/>
      <c r="AA4" s="342"/>
      <c r="AB4" s="342"/>
      <c r="AC4" s="342"/>
      <c r="AD4" s="343"/>
      <c r="AE4" s="343"/>
      <c r="AF4" s="343"/>
      <c r="AG4" s="343"/>
      <c r="AH4" s="343"/>
      <c r="AI4" s="343"/>
    </row>
    <row r="5" spans="1:35" ht="12.75" customHeight="1" hidden="1">
      <c r="A5" s="340"/>
      <c r="B5" s="345">
        <f>IF(K58="","",K58)</f>
      </c>
      <c r="C5" s="346"/>
      <c r="D5" s="355" t="str">
        <f>IF(E58="","",E58)</f>
        <v>3. Személyi jellegű ráfordítás és eszközérték arányos együtt</v>
      </c>
      <c r="E5" s="336"/>
      <c r="F5" s="336"/>
      <c r="G5" s="353"/>
      <c r="H5" s="353"/>
      <c r="I5" s="340">
        <f aca="true" t="shared" si="2" ref="I5:K6">IF(I58="","",I58)</f>
      </c>
      <c r="J5" s="340">
        <f t="shared" si="2"/>
      </c>
      <c r="K5" s="340">
        <f t="shared" si="2"/>
      </c>
      <c r="L5" s="340"/>
      <c r="Q5" s="349" t="e">
        <f>ROUND('F.LAP'!K27/('F.LAP'!K24+'F.LAP'!K27+'F.LAP'!K29+'F.LAP'!K31)*Q18,0)/Q18</f>
        <v>#DIV/0!</v>
      </c>
      <c r="R5" s="350" t="e">
        <f>(H27/'F.LAP'!AA33)-R3</f>
        <v>#DIV/0!</v>
      </c>
      <c r="S5" s="351">
        <f>IF('F.LAP'!K27=0,0,ROUND('F.LAP'!K28/'F.LAP'!K27*Q18,0)/Q18)</f>
        <v>0</v>
      </c>
      <c r="T5" s="352" t="e">
        <f>ROUND(R5*S5,6)</f>
        <v>#DIV/0!</v>
      </c>
      <c r="U5" s="704">
        <f>IF(S5=0,0,T5)</f>
        <v>0</v>
      </c>
      <c r="W5" s="342"/>
      <c r="X5" s="342"/>
      <c r="Y5" s="342"/>
      <c r="Z5" s="342"/>
      <c r="AA5" s="342"/>
      <c r="AB5" s="342"/>
      <c r="AC5" s="342"/>
      <c r="AD5" s="343"/>
      <c r="AE5" s="343"/>
      <c r="AF5" s="343"/>
      <c r="AG5" s="343"/>
      <c r="AH5" s="343"/>
      <c r="AI5" s="343"/>
    </row>
    <row r="6" spans="1:35" ht="12.75" customHeight="1" hidden="1">
      <c r="A6" s="340"/>
      <c r="B6" s="345">
        <f>IF(K59="","",K59)</f>
      </c>
      <c r="C6" s="346"/>
      <c r="D6" s="355" t="str">
        <f>IF(E59="","",E59)</f>
        <v>4. A Htv. 3. számú melléklet 2.2. pontja szerinti megosztás</v>
      </c>
      <c r="E6" s="336"/>
      <c r="F6" s="336"/>
      <c r="G6" s="353"/>
      <c r="H6" s="353"/>
      <c r="I6" s="340">
        <f t="shared" si="2"/>
      </c>
      <c r="J6" s="340">
        <f t="shared" si="2"/>
      </c>
      <c r="K6" s="340">
        <f t="shared" si="2"/>
      </c>
      <c r="L6" s="340"/>
      <c r="Q6" s="719" t="e">
        <f>ROUND('F.LAP'!K32/('F.LAP'!K24+'F.LAP'!K27+'F.LAP'!K29+'F.LAP'!K31)*Q18,0)/Q18</f>
        <v>#DIV/0!</v>
      </c>
      <c r="R6" s="716" t="e">
        <f>ROUND(Q6*$H$27,6)</f>
        <v>#DIV/0!</v>
      </c>
      <c r="S6" s="720">
        <f>IF('F.LAP'!K31=0,0,ROUND('F.LAP'!K32/'F.LAP'!K31*Q18,0)/Q18)</f>
        <v>0</v>
      </c>
      <c r="T6" s="717" t="e">
        <f>ROUND(R6*S6,6)</f>
        <v>#DIV/0!</v>
      </c>
      <c r="U6" s="718">
        <f>IF(S6=0,0,0)</f>
        <v>0</v>
      </c>
      <c r="W6" s="342"/>
      <c r="X6" s="342"/>
      <c r="Y6" s="342"/>
      <c r="Z6" s="342"/>
      <c r="AA6" s="342"/>
      <c r="AB6" s="342"/>
      <c r="AC6" s="342"/>
      <c r="AD6" s="343"/>
      <c r="AE6" s="343"/>
      <c r="AF6" s="343"/>
      <c r="AG6" s="343"/>
      <c r="AH6" s="343"/>
      <c r="AI6" s="343"/>
    </row>
    <row r="7" spans="2:35" ht="12.75" customHeight="1" hidden="1">
      <c r="B7" s="336">
        <f>'F.LAP'!E18</f>
      </c>
      <c r="D7" s="336" t="str">
        <f>'F.LAP'!F18</f>
        <v>5. A Htv. 3. számú melléklet 2.3 pontja szerinti megosztás</v>
      </c>
      <c r="Q7" s="721" t="e">
        <f>ROUND(('F.LAP'!K34/'F.LAP'!K33)*Q18,0)/Q18</f>
        <v>#DIV/0!</v>
      </c>
      <c r="R7" s="722" t="e">
        <f>ROUND(Q7*$H$27/2,6)</f>
        <v>#DIV/0!</v>
      </c>
      <c r="S7" s="723">
        <f>IF(B7="",0,Q7)</f>
        <v>0</v>
      </c>
      <c r="T7" s="724" t="e">
        <f>R7</f>
        <v>#DIV/0!</v>
      </c>
      <c r="U7" s="725">
        <f t="shared" si="1"/>
        <v>0</v>
      </c>
      <c r="W7" s="342"/>
      <c r="X7" s="342"/>
      <c r="Y7" s="342"/>
      <c r="Z7" s="342"/>
      <c r="AA7" s="342"/>
      <c r="AB7" s="342"/>
      <c r="AC7" s="342"/>
      <c r="AD7" s="343"/>
      <c r="AE7" s="343"/>
      <c r="AF7" s="343"/>
      <c r="AG7" s="343"/>
      <c r="AH7" s="343"/>
      <c r="AI7" s="343"/>
    </row>
    <row r="8" spans="2:21" ht="15" hidden="1">
      <c r="B8" s="336">
        <f>'F.LAP'!E19</f>
      </c>
      <c r="D8" s="336" t="str">
        <f>'F.LAP'!F19</f>
        <v>6. A Htv. 3. számú melléklet 2.4.1 pontja szerinti megosztás</v>
      </c>
      <c r="Q8" s="706" t="e">
        <f>ROUND(('F.LAP'!AA38/'F.LAP'!AA37)*Q18,0)/Q18</f>
        <v>#DIV/0!</v>
      </c>
      <c r="R8" s="350" t="e">
        <f>ROUND(Q8*$H$27,6)</f>
        <v>#DIV/0!</v>
      </c>
      <c r="S8" s="341">
        <f>IF(B8="",0,Q8)</f>
        <v>0</v>
      </c>
      <c r="T8" s="352" t="e">
        <f>R8</f>
        <v>#DIV/0!</v>
      </c>
      <c r="U8" s="704">
        <f t="shared" si="1"/>
        <v>0</v>
      </c>
    </row>
    <row r="9" spans="2:21" ht="15" hidden="1">
      <c r="B9" s="336">
        <f>'F.LAP'!E20</f>
      </c>
      <c r="D9" s="336" t="str">
        <f>'F.LAP'!F20</f>
        <v>7. A Htv. 3. számú melléklet 2.4.2 pontja szerinti megosztás</v>
      </c>
      <c r="Q9" s="705" t="e">
        <f>ROUND((('F.LAP'!AA38/'F.LAP'!AA37)*Q18),0)/Q18</f>
        <v>#DIV/0!</v>
      </c>
      <c r="R9" s="350" t="e">
        <f>ROUND(Q9*$H$27,6)</f>
        <v>#DIV/0!</v>
      </c>
      <c r="S9" s="341">
        <f>IF(B9="",0,Q9)</f>
        <v>0</v>
      </c>
      <c r="T9" s="352" t="e">
        <f>R9</f>
        <v>#DIV/0!</v>
      </c>
      <c r="U9" s="704">
        <f t="shared" si="1"/>
        <v>0</v>
      </c>
    </row>
    <row r="10" ht="12.75" customHeight="1" hidden="1"/>
    <row r="11" spans="1:21" ht="15" hidden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T11" s="356" t="e">
        <f>ROUND(T5+T4+T3+T6+T7+T8+T9,0)</f>
        <v>#DIV/0!</v>
      </c>
      <c r="U11" s="356">
        <f>ROUND(U5+U4+U3+U6+U7+U8+U9,0)</f>
        <v>0</v>
      </c>
    </row>
    <row r="12" spans="1:12" ht="15" hidden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</row>
    <row r="13" ht="15" hidden="1"/>
    <row r="14" spans="1:39" ht="15.75">
      <c r="A14" s="357" t="s">
        <v>235</v>
      </c>
      <c r="B14" s="1237" t="s">
        <v>236</v>
      </c>
      <c r="C14" s="1237"/>
      <c r="D14" s="1237"/>
      <c r="E14" s="1237"/>
      <c r="F14" s="1237"/>
      <c r="G14" s="1237"/>
      <c r="H14" s="358"/>
      <c r="I14" s="358"/>
      <c r="J14" s="358"/>
      <c r="K14" s="358"/>
      <c r="L14" s="358"/>
      <c r="M14" s="358"/>
      <c r="N14" s="358"/>
      <c r="O14" s="337"/>
      <c r="R14" s="359" t="s">
        <v>237</v>
      </c>
      <c r="S14" s="341"/>
      <c r="T14" s="341"/>
      <c r="U14" s="341"/>
      <c r="V14" s="360"/>
      <c r="W14" s="360"/>
      <c r="X14" s="360"/>
      <c r="Y14" s="360"/>
      <c r="Z14" s="360"/>
      <c r="AA14" s="360"/>
      <c r="AB14" s="360"/>
      <c r="AC14" s="360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</row>
    <row r="15" spans="1:39" ht="12.75" customHeight="1">
      <c r="A15" s="1238"/>
      <c r="B15" s="1238"/>
      <c r="C15" s="1238"/>
      <c r="D15" s="1238"/>
      <c r="E15" s="1238"/>
      <c r="F15" s="1238"/>
      <c r="G15" s="1239"/>
      <c r="H15" s="1240" t="s">
        <v>238</v>
      </c>
      <c r="I15" s="1242" t="s">
        <v>239</v>
      </c>
      <c r="J15" s="1242"/>
      <c r="K15" s="1242"/>
      <c r="L15" s="1242"/>
      <c r="M15" s="1242"/>
      <c r="N15" s="1242"/>
      <c r="O15" s="1242"/>
      <c r="Q15" s="361"/>
      <c r="R15" s="359" t="s">
        <v>240</v>
      </c>
      <c r="S15" s="359"/>
      <c r="T15" s="359"/>
      <c r="U15" s="359"/>
      <c r="V15" s="360"/>
      <c r="W15" s="360"/>
      <c r="X15" s="360"/>
      <c r="Y15" s="360"/>
      <c r="Z15" s="360"/>
      <c r="AA15" s="360"/>
      <c r="AB15" s="360"/>
      <c r="AC15" s="360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</row>
    <row r="16" spans="1:39" ht="12.75" customHeight="1">
      <c r="A16" s="1238"/>
      <c r="B16" s="1238"/>
      <c r="C16" s="1238"/>
      <c r="D16" s="1238"/>
      <c r="E16" s="1238"/>
      <c r="F16" s="1238"/>
      <c r="G16" s="1239"/>
      <c r="H16" s="1241"/>
      <c r="I16" s="1242"/>
      <c r="J16" s="1242"/>
      <c r="K16" s="1242"/>
      <c r="L16" s="1242"/>
      <c r="M16" s="1242"/>
      <c r="N16" s="1242"/>
      <c r="O16" s="1242"/>
      <c r="Q16" s="361"/>
      <c r="R16" s="362" t="e">
        <f>H28/H23</f>
        <v>#DIV/0!</v>
      </c>
      <c r="S16" s="359" t="s">
        <v>35</v>
      </c>
      <c r="T16" s="359"/>
      <c r="U16" s="359"/>
      <c r="V16" s="360"/>
      <c r="W16" s="360"/>
      <c r="X16" s="360"/>
      <c r="Y16" s="360"/>
      <c r="Z16" s="360"/>
      <c r="AA16" s="360"/>
      <c r="AB16" s="360"/>
      <c r="AC16" s="360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</row>
    <row r="17" spans="1:39" ht="24" customHeight="1">
      <c r="A17" s="363" t="s">
        <v>241</v>
      </c>
      <c r="B17" s="1243" t="s">
        <v>242</v>
      </c>
      <c r="C17" s="1243"/>
      <c r="D17" s="1243"/>
      <c r="E17" s="1243"/>
      <c r="F17" s="1243"/>
      <c r="G17" s="1244"/>
      <c r="H17" s="663">
        <f>'A.LAP'!J17+B_LAP!J17+C_LAP!J17+D_LAP!J17+E_LAP!J17</f>
        <v>0</v>
      </c>
      <c r="I17" s="384"/>
      <c r="J17" s="337"/>
      <c r="K17" s="337"/>
      <c r="L17" s="337"/>
      <c r="M17" s="337"/>
      <c r="N17" s="337"/>
      <c r="O17" s="337"/>
      <c r="Q17" s="364"/>
      <c r="R17" s="341"/>
      <c r="S17" s="341"/>
      <c r="T17" s="341"/>
      <c r="U17" s="359"/>
      <c r="V17" s="360"/>
      <c r="W17" s="360"/>
      <c r="X17" s="360"/>
      <c r="Y17" s="360"/>
      <c r="Z17" s="360"/>
      <c r="AA17" s="360"/>
      <c r="AB17" s="360"/>
      <c r="AC17" s="360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</row>
    <row r="18" spans="1:40" ht="13.5" customHeight="1">
      <c r="A18" s="363" t="s">
        <v>243</v>
      </c>
      <c r="B18" s="1209" t="s">
        <v>244</v>
      </c>
      <c r="C18" s="1209"/>
      <c r="D18" s="1209"/>
      <c r="E18" s="1209"/>
      <c r="F18" s="1209"/>
      <c r="G18" s="1210"/>
      <c r="H18" s="769"/>
      <c r="I18" s="384"/>
      <c r="J18" s="337"/>
      <c r="K18" s="337"/>
      <c r="L18" s="337"/>
      <c r="M18" s="337"/>
      <c r="N18" s="337"/>
      <c r="O18" s="337"/>
      <c r="Q18" s="365">
        <v>100000000</v>
      </c>
      <c r="R18" s="366"/>
      <c r="S18" s="366"/>
      <c r="T18" s="341"/>
      <c r="U18" s="359"/>
      <c r="V18" s="360"/>
      <c r="W18" s="360"/>
      <c r="X18" s="360"/>
      <c r="Y18" s="360"/>
      <c r="Z18" s="360"/>
      <c r="AA18" s="360"/>
      <c r="AB18" s="360"/>
      <c r="AC18" s="360"/>
      <c r="AD18" s="359"/>
      <c r="AE18" s="359"/>
      <c r="AF18" s="359"/>
      <c r="AG18" s="359"/>
      <c r="AH18" s="359"/>
      <c r="AI18" s="359"/>
      <c r="AJ18" s="359"/>
      <c r="AK18" s="1081">
        <f>IF(H18&gt;0,1,0)</f>
        <v>0</v>
      </c>
      <c r="AL18" s="1081"/>
      <c r="AM18" s="1081">
        <f>IF('1. oldal'!C97="",0,1)</f>
        <v>0</v>
      </c>
      <c r="AN18" s="343"/>
    </row>
    <row r="19" spans="1:40" ht="12.75" customHeight="1">
      <c r="A19" s="363" t="s">
        <v>245</v>
      </c>
      <c r="B19" s="1209" t="s">
        <v>246</v>
      </c>
      <c r="C19" s="1209"/>
      <c r="D19" s="1209"/>
      <c r="E19" s="1209"/>
      <c r="F19" s="1209"/>
      <c r="G19" s="1210"/>
      <c r="H19" s="769"/>
      <c r="I19" s="384"/>
      <c r="J19" s="337"/>
      <c r="K19" s="337"/>
      <c r="L19" s="337"/>
      <c r="M19" s="337"/>
      <c r="N19" s="337"/>
      <c r="O19" s="337"/>
      <c r="Q19" s="367" t="e">
        <f>ROUND((H23*(ROUND(((('F.LAP'!K25+'F.LAP'!K28+'F.LAP'!AA31)/('F.LAP'!K24+'F.LAP'!K27+'F.LAP'!AA29))*Q18),0))/Q18),0)</f>
        <v>#DIV/0!</v>
      </c>
      <c r="R19" s="702" t="e">
        <f>'F.LAP'!K34/'F.LAP'!K33</f>
        <v>#DIV/0!</v>
      </c>
      <c r="S19" s="368" t="e">
        <f>'F.LAP'!K36/'F.LAP'!K35</f>
        <v>#DIV/0!</v>
      </c>
      <c r="T19" s="359" t="e">
        <f>'F.LAP'!K38/'F.LAP'!K37</f>
        <v>#DIV/0!</v>
      </c>
      <c r="U19" s="359" t="e">
        <f>'F.LAP'!K40/'F.LAP'!K39</f>
        <v>#DIV/0!</v>
      </c>
      <c r="V19" s="360"/>
      <c r="W19" s="360"/>
      <c r="X19" s="360"/>
      <c r="Y19" s="360"/>
      <c r="Z19" s="360"/>
      <c r="AA19" s="360"/>
      <c r="AB19" s="360"/>
      <c r="AC19" s="360"/>
      <c r="AD19" s="359"/>
      <c r="AE19" s="359"/>
      <c r="AF19" s="359"/>
      <c r="AG19" s="359"/>
      <c r="AH19" s="359"/>
      <c r="AI19" s="359"/>
      <c r="AJ19" s="359"/>
      <c r="AK19" s="1081">
        <f>IF(H19&gt;0,1,0)</f>
        <v>0</v>
      </c>
      <c r="AL19" s="1081"/>
      <c r="AM19" s="1081">
        <f>IF('1. oldal'!C99="",0,1)</f>
        <v>0</v>
      </c>
      <c r="AN19" s="343"/>
    </row>
    <row r="20" spans="1:74" ht="12" customHeight="1">
      <c r="A20" s="363" t="s">
        <v>247</v>
      </c>
      <c r="B20" s="1231" t="s">
        <v>30</v>
      </c>
      <c r="C20" s="1231"/>
      <c r="D20" s="1231"/>
      <c r="E20" s="1231"/>
      <c r="F20" s="1231"/>
      <c r="G20" s="1232"/>
      <c r="H20" s="769"/>
      <c r="I20" s="662"/>
      <c r="J20" s="337"/>
      <c r="K20" s="337"/>
      <c r="L20" s="337"/>
      <c r="M20" s="337"/>
      <c r="N20" s="337"/>
      <c r="O20" s="337"/>
      <c r="Q20" s="707">
        <f>U11</f>
        <v>0</v>
      </c>
      <c r="R20" s="369">
        <f>IF(H20&gt;H19,1,0)</f>
        <v>0</v>
      </c>
      <c r="S20" s="369">
        <f>IF(R20=1,"Hiba 9131. Sor: Az alvállalkozói teljesítmények értéke nem lehet magasabb, mint a közvetített szolgáltatások értéke!","")</f>
      </c>
      <c r="T20" s="369"/>
      <c r="U20" s="369"/>
      <c r="V20" s="370"/>
      <c r="W20" s="370"/>
      <c r="X20" s="370"/>
      <c r="Y20" s="370"/>
      <c r="Z20" s="370"/>
      <c r="AA20" s="370"/>
      <c r="AB20" s="370"/>
      <c r="AC20" s="370"/>
      <c r="AD20" s="369"/>
      <c r="AE20" s="369"/>
      <c r="AF20" s="369"/>
      <c r="AG20" s="369"/>
      <c r="AH20" s="369"/>
      <c r="AI20" s="369"/>
      <c r="AJ20" s="369"/>
      <c r="AK20" s="371"/>
      <c r="AL20" s="371"/>
      <c r="AM20" s="371">
        <f>IF('1. oldal'!C101="",0,1)</f>
        <v>0</v>
      </c>
      <c r="AN20" s="371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</row>
    <row r="21" spans="1:74" ht="12.75" customHeight="1">
      <c r="A21" s="363" t="s">
        <v>248</v>
      </c>
      <c r="B21" s="1231" t="s">
        <v>249</v>
      </c>
      <c r="C21" s="1231"/>
      <c r="D21" s="1231"/>
      <c r="E21" s="1231"/>
      <c r="F21" s="1231"/>
      <c r="G21" s="1232"/>
      <c r="H21" s="769"/>
      <c r="I21" s="384"/>
      <c r="J21" s="337"/>
      <c r="K21" s="337"/>
      <c r="L21" s="337"/>
      <c r="M21" s="337"/>
      <c r="N21" s="337"/>
      <c r="O21" s="337"/>
      <c r="Q21" s="373"/>
      <c r="R21" s="1236" t="s">
        <v>250</v>
      </c>
      <c r="S21" s="1236"/>
      <c r="T21" s="1236"/>
      <c r="U21" s="1236"/>
      <c r="V21" s="1235" t="s">
        <v>251</v>
      </c>
      <c r="W21" s="1235"/>
      <c r="X21" s="1235"/>
      <c r="Y21" s="1235"/>
      <c r="Z21" s="1235" t="s">
        <v>252</v>
      </c>
      <c r="AA21" s="1235"/>
      <c r="AB21" s="1235"/>
      <c r="AC21" s="1235"/>
      <c r="AD21" s="1235" t="s">
        <v>253</v>
      </c>
      <c r="AE21" s="1235"/>
      <c r="AF21" s="1235"/>
      <c r="AG21" s="1235"/>
      <c r="AH21" s="374"/>
      <c r="AI21" s="374"/>
      <c r="AJ21" s="369"/>
      <c r="AK21" s="1081">
        <f>IF(H21&gt;0,1,0)</f>
        <v>0</v>
      </c>
      <c r="AL21" s="371"/>
      <c r="AM21" s="371"/>
      <c r="AN21" s="371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</row>
    <row r="22" spans="1:74" ht="12.75" customHeight="1">
      <c r="A22" s="363" t="s">
        <v>254</v>
      </c>
      <c r="B22" s="1231" t="s">
        <v>74</v>
      </c>
      <c r="C22" s="1231"/>
      <c r="D22" s="1231"/>
      <c r="E22" s="1231"/>
      <c r="F22" s="1231"/>
      <c r="G22" s="1232"/>
      <c r="H22" s="769"/>
      <c r="I22" s="384"/>
      <c r="J22" s="337"/>
      <c r="K22" s="337"/>
      <c r="L22" s="337"/>
      <c r="M22" s="337"/>
      <c r="N22" s="337"/>
      <c r="O22" s="337"/>
      <c r="Q22" s="373"/>
      <c r="R22" s="1236" t="s">
        <v>250</v>
      </c>
      <c r="S22" s="1236"/>
      <c r="T22" s="1236"/>
      <c r="U22" s="1236"/>
      <c r="V22" s="1235" t="s">
        <v>251</v>
      </c>
      <c r="W22" s="1235"/>
      <c r="X22" s="1235"/>
      <c r="Y22" s="1235"/>
      <c r="Z22" s="1235" t="s">
        <v>252</v>
      </c>
      <c r="AA22" s="1235"/>
      <c r="AB22" s="1235"/>
      <c r="AC22" s="1235"/>
      <c r="AD22" s="1235" t="s">
        <v>253</v>
      </c>
      <c r="AE22" s="1235"/>
      <c r="AF22" s="1235"/>
      <c r="AG22" s="1235"/>
      <c r="AH22" s="374"/>
      <c r="AI22" s="374"/>
      <c r="AJ22" s="369"/>
      <c r="AK22" s="1081">
        <f>IF(H22&gt;0,1,0)</f>
        <v>0</v>
      </c>
      <c r="AL22" s="371"/>
      <c r="AM22" s="371"/>
      <c r="AN22" s="371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</row>
    <row r="23" spans="1:74" ht="14.25" customHeight="1">
      <c r="A23" s="363" t="s">
        <v>255</v>
      </c>
      <c r="B23" s="1247" t="s">
        <v>380</v>
      </c>
      <c r="C23" s="1247"/>
      <c r="D23" s="1247"/>
      <c r="E23" s="1247"/>
      <c r="F23" s="1247"/>
      <c r="G23" s="1248"/>
      <c r="H23" s="665">
        <f>IF(H17-H18-H19-H20-H21-H22&lt;0,0,(V23*V28+Z23*Z28+AD23*AD28+R23*R28)*Q23)</f>
        <v>0</v>
      </c>
      <c r="I23" s="384"/>
      <c r="J23" s="337"/>
      <c r="K23" s="337"/>
      <c r="L23" s="337"/>
      <c r="M23" s="337"/>
      <c r="N23" s="337"/>
      <c r="O23" s="337"/>
      <c r="Q23" s="364">
        <f>IF('x2_oldal'!A54=0,1,0)</f>
        <v>1</v>
      </c>
      <c r="R23" s="1227">
        <f>H17-H18-H19-H20-H21-H22</f>
        <v>0</v>
      </c>
      <c r="S23" s="1227"/>
      <c r="T23" s="1227"/>
      <c r="U23" s="1227"/>
      <c r="V23" s="1227">
        <f>IF(('1. oldal'!C105="X"),ROUND(H17/2,0),0)</f>
        <v>0</v>
      </c>
      <c r="W23" s="1227"/>
      <c r="X23" s="1227"/>
      <c r="Y23" s="1227"/>
      <c r="Z23" s="1249">
        <f>IF('1. oldal'!C101="",0,H17*0.8)</f>
        <v>0</v>
      </c>
      <c r="AA23" s="1249"/>
      <c r="AB23" s="1249"/>
      <c r="AC23" s="1249"/>
      <c r="AD23" s="1227">
        <f>IF('1. oldal'!C97="",0,'A.LAP'!J17*1.2)</f>
        <v>0</v>
      </c>
      <c r="AE23" s="1227"/>
      <c r="AF23" s="1227"/>
      <c r="AG23" s="1227"/>
      <c r="AH23" s="375">
        <f>SUM(AH28:AH29)</f>
        <v>0</v>
      </c>
      <c r="AI23" s="376"/>
      <c r="AJ23" s="377"/>
      <c r="AK23" s="1082">
        <f>SUM(AK18:AK22)</f>
        <v>0</v>
      </c>
      <c r="AL23" s="371"/>
      <c r="AM23" s="371">
        <f>SUM(AM18:AM22)</f>
        <v>0</v>
      </c>
      <c r="AN23" s="1083">
        <f>IF(AM23&gt;0,AK23,0)</f>
        <v>0</v>
      </c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</row>
    <row r="24" spans="1:74" ht="14.25" customHeight="1">
      <c r="A24" s="363" t="s">
        <v>257</v>
      </c>
      <c r="B24" s="1231" t="s">
        <v>256</v>
      </c>
      <c r="C24" s="1231"/>
      <c r="D24" s="1231"/>
      <c r="E24" s="1231"/>
      <c r="F24" s="1231"/>
      <c r="G24" s="1232"/>
      <c r="H24" s="772"/>
      <c r="I24" s="384"/>
      <c r="J24" s="337"/>
      <c r="K24" s="337"/>
      <c r="L24" s="337"/>
      <c r="M24" s="337"/>
      <c r="N24" s="337"/>
      <c r="O24" s="337"/>
      <c r="Q24" s="364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5"/>
      <c r="AI24" s="376"/>
      <c r="AJ24" s="377"/>
      <c r="AK24" s="377"/>
      <c r="AL24" s="369"/>
      <c r="AM24" s="369"/>
      <c r="AN24" s="371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</row>
    <row r="25" spans="1:74" ht="26.25" customHeight="1" hidden="1">
      <c r="A25" s="363" t="s">
        <v>259</v>
      </c>
      <c r="B25" s="1245" t="s">
        <v>258</v>
      </c>
      <c r="C25" s="1245"/>
      <c r="D25" s="1245"/>
      <c r="E25" s="1245"/>
      <c r="F25" s="1245"/>
      <c r="G25" s="1246"/>
      <c r="H25" s="772"/>
      <c r="I25" s="384"/>
      <c r="J25" s="337"/>
      <c r="K25" s="337"/>
      <c r="L25" s="337"/>
      <c r="M25" s="337"/>
      <c r="N25" s="337"/>
      <c r="O25" s="337"/>
      <c r="Q25" s="364"/>
      <c r="R25" s="379">
        <f>IF('1. oldal'!C105="",0,1)</f>
        <v>0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5"/>
      <c r="AI25" s="376"/>
      <c r="AJ25" s="377"/>
      <c r="AK25" s="377"/>
      <c r="AL25" s="369"/>
      <c r="AM25" s="369"/>
      <c r="AN25" s="371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</row>
    <row r="26" spans="1:74" ht="15" customHeight="1">
      <c r="A26" s="363" t="s">
        <v>259</v>
      </c>
      <c r="B26" s="1231" t="s">
        <v>260</v>
      </c>
      <c r="C26" s="1231"/>
      <c r="D26" s="1231"/>
      <c r="E26" s="1231"/>
      <c r="F26" s="1231"/>
      <c r="G26" s="1232"/>
      <c r="H26" s="772"/>
      <c r="I26" s="384"/>
      <c r="J26" s="337"/>
      <c r="K26" s="337"/>
      <c r="L26" s="337"/>
      <c r="M26" s="337"/>
      <c r="N26" s="337"/>
      <c r="O26" s="337"/>
      <c r="Q26" s="364"/>
      <c r="R26" s="380">
        <f>IF('1. oldal'!C97="",0,1)</f>
        <v>0</v>
      </c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5"/>
      <c r="AI26" s="376"/>
      <c r="AJ26" s="377"/>
      <c r="AK26" s="377"/>
      <c r="AL26" s="369"/>
      <c r="AM26" s="369"/>
      <c r="AN26" s="371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</row>
    <row r="27" spans="1:74" ht="25.5" customHeight="1">
      <c r="A27" s="363" t="s">
        <v>261</v>
      </c>
      <c r="B27" s="1233" t="s">
        <v>670</v>
      </c>
      <c r="C27" s="1233"/>
      <c r="D27" s="1233"/>
      <c r="E27" s="1233"/>
      <c r="F27" s="1233"/>
      <c r="G27" s="1234"/>
      <c r="H27" s="663">
        <f>IF('1. oldal'!B131=0,H23-H24-H25+H26,0)</f>
        <v>0</v>
      </c>
      <c r="I27" s="384"/>
      <c r="J27" s="337"/>
      <c r="K27" s="337"/>
      <c r="L27" s="337"/>
      <c r="M27" s="337"/>
      <c r="N27" s="337"/>
      <c r="O27" s="337"/>
      <c r="Q27" s="364"/>
      <c r="R27" s="381">
        <f>IF('1. oldal'!C101="",0,1)</f>
        <v>0</v>
      </c>
      <c r="S27" s="382">
        <f>R26+R27+R25</f>
        <v>0</v>
      </c>
      <c r="T27" s="383"/>
      <c r="U27" s="383"/>
      <c r="V27" s="370"/>
      <c r="W27" s="370"/>
      <c r="X27" s="370"/>
      <c r="Y27" s="370"/>
      <c r="Z27" s="370"/>
      <c r="AA27" s="370"/>
      <c r="AB27" s="370"/>
      <c r="AC27" s="370"/>
      <c r="AD27" s="383"/>
      <c r="AE27" s="383"/>
      <c r="AF27" s="383"/>
      <c r="AG27" s="383"/>
      <c r="AH27" s="383"/>
      <c r="AI27" s="383"/>
      <c r="AJ27" s="1202">
        <f>IF(H23&lt;750000,AT27,"")</f>
        <v>0</v>
      </c>
      <c r="AK27" s="1203"/>
      <c r="AL27" s="1203"/>
      <c r="AM27" s="1203"/>
      <c r="AN27" s="1203"/>
      <c r="AO27" s="1203"/>
      <c r="AP27" s="1203"/>
      <c r="AQ27" s="1203"/>
      <c r="AR27" s="1203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</row>
    <row r="28" spans="1:74" ht="24.75" customHeight="1">
      <c r="A28" s="363" t="s">
        <v>262</v>
      </c>
      <c r="B28" s="1194" t="s">
        <v>671</v>
      </c>
      <c r="C28" s="1194"/>
      <c r="D28" s="1194"/>
      <c r="E28" s="1194"/>
      <c r="F28" s="1194"/>
      <c r="G28" s="1195"/>
      <c r="H28" s="666">
        <f>IF(H23&lt;0,0,ROUND((IF('F.LAP'!K24+'F.LAP'!K25+'F.LAP'!K27+'F.LAP'!K28+'F.LAP'!AA29+'F.LAP'!AA31+'F.LAP'!K33+'F.LAP'!K35+'F.LAP'!K37+'F.LAP'!K39=0,H27,Q20)),0))</f>
        <v>0</v>
      </c>
      <c r="I28" s="384"/>
      <c r="J28" s="337"/>
      <c r="K28" s="337"/>
      <c r="L28" s="337"/>
      <c r="M28" s="337"/>
      <c r="N28" s="337"/>
      <c r="O28" s="337"/>
      <c r="Q28" s="364">
        <f>IF(H17-H18-H19-H21&lt;0,-1,0)</f>
        <v>0</v>
      </c>
      <c r="R28" s="1225">
        <f>IF(S27=0,1,0)</f>
        <v>1</v>
      </c>
      <c r="S28" s="1225"/>
      <c r="T28" s="1225"/>
      <c r="U28" s="1225"/>
      <c r="V28" s="1226">
        <f>IF(V23=0,0,1)</f>
        <v>0</v>
      </c>
      <c r="W28" s="1226"/>
      <c r="X28" s="1226"/>
      <c r="Y28" s="1226"/>
      <c r="Z28" s="1227">
        <f>IF('1. oldal'!C101="",0,1)</f>
        <v>0</v>
      </c>
      <c r="AA28" s="1227"/>
      <c r="AB28" s="1227"/>
      <c r="AC28" s="1227"/>
      <c r="AD28" s="1226">
        <f>IF('1. oldal'!C97="",0,1)</f>
        <v>0</v>
      </c>
      <c r="AE28" s="1226"/>
      <c r="AF28" s="1226"/>
      <c r="AG28" s="1226"/>
      <c r="AH28" s="375">
        <f>IF('x2_oldal'!AA27="x",1,0)</f>
        <v>0</v>
      </c>
      <c r="AI28" s="369"/>
      <c r="AJ28" s="1204"/>
      <c r="AK28" s="1204"/>
      <c r="AL28" s="1204"/>
      <c r="AM28" s="1204"/>
      <c r="AN28" s="1204"/>
      <c r="AO28" s="1204"/>
      <c r="AP28" s="1204"/>
      <c r="AQ28" s="1204"/>
      <c r="AR28" s="1204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</row>
    <row r="29" spans="1:74" ht="15" customHeight="1">
      <c r="A29" s="363" t="s">
        <v>263</v>
      </c>
      <c r="B29" s="1229" t="s">
        <v>264</v>
      </c>
      <c r="C29" s="1229"/>
      <c r="D29" s="1229"/>
      <c r="E29" s="1229"/>
      <c r="F29" s="1229"/>
      <c r="G29" s="1230"/>
      <c r="H29" s="666"/>
      <c r="I29" s="384"/>
      <c r="J29" s="337"/>
      <c r="K29" s="337"/>
      <c r="L29" s="337"/>
      <c r="M29" s="337"/>
      <c r="N29" s="337"/>
      <c r="O29" s="337"/>
      <c r="Q29" s="364">
        <f>IF(H29&gt;H28,1,0)</f>
        <v>0</v>
      </c>
      <c r="R29" s="369"/>
      <c r="S29" s="369"/>
      <c r="T29" s="369"/>
      <c r="U29" s="369"/>
      <c r="V29" s="370"/>
      <c r="W29" s="370"/>
      <c r="X29" s="370"/>
      <c r="Y29" s="370"/>
      <c r="Z29" s="385"/>
      <c r="AA29" s="386"/>
      <c r="AB29" s="386"/>
      <c r="AC29" s="386"/>
      <c r="AD29" s="1228">
        <f>H17*1.2</f>
        <v>0</v>
      </c>
      <c r="AE29" s="1228"/>
      <c r="AF29" s="1228"/>
      <c r="AG29" s="1228"/>
      <c r="AH29" s="369">
        <f>IF('x2_oldal'!P28=1,1,0)</f>
        <v>0</v>
      </c>
      <c r="AI29" s="376">
        <f>IF(AI28=1,'A.LAP'!J17*1.2,"")</f>
      </c>
      <c r="AJ29" s="377"/>
      <c r="AK29" s="377"/>
      <c r="AL29" s="369"/>
      <c r="AM29" s="369"/>
      <c r="AN29" s="371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</row>
    <row r="30" spans="1:74" ht="12.75" customHeight="1" hidden="1">
      <c r="A30" s="387"/>
      <c r="B30" s="388"/>
      <c r="C30" s="388"/>
      <c r="D30" s="388"/>
      <c r="E30" s="1192"/>
      <c r="F30" s="1192"/>
      <c r="G30" s="1193"/>
      <c r="H30" s="667">
        <f>főkönyv!B97</f>
        <v>0</v>
      </c>
      <c r="I30" s="384"/>
      <c r="J30" s="337"/>
      <c r="K30" s="337"/>
      <c r="L30" s="337"/>
      <c r="M30" s="337"/>
      <c r="N30" s="337"/>
      <c r="O30" s="337"/>
      <c r="Q30" s="364"/>
      <c r="R30" s="369"/>
      <c r="S30" s="369"/>
      <c r="T30" s="369"/>
      <c r="U30" s="369"/>
      <c r="V30" s="370"/>
      <c r="W30" s="370"/>
      <c r="X30" s="370"/>
      <c r="Y30" s="370"/>
      <c r="Z30" s="370"/>
      <c r="AA30" s="370"/>
      <c r="AB30" s="370"/>
      <c r="AC30" s="370"/>
      <c r="AD30" s="1228">
        <f>'A.LAP'!O19*0.8</f>
        <v>0</v>
      </c>
      <c r="AE30" s="1228"/>
      <c r="AF30" s="1228"/>
      <c r="AG30" s="1228"/>
      <c r="AH30" s="369"/>
      <c r="AI30" s="376"/>
      <c r="AJ30" s="377"/>
      <c r="AK30" s="377"/>
      <c r="AL30" s="369"/>
      <c r="AM30" s="369"/>
      <c r="AN30" s="371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</row>
    <row r="31" spans="1:74" ht="12.75" customHeight="1" hidden="1">
      <c r="A31" s="387" t="s">
        <v>265</v>
      </c>
      <c r="B31" s="388"/>
      <c r="C31" s="388"/>
      <c r="D31" s="388"/>
      <c r="E31" s="1192"/>
      <c r="F31" s="1192"/>
      <c r="G31" s="1193"/>
      <c r="H31" s="667">
        <f>főkönyv!B98</f>
        <v>0</v>
      </c>
      <c r="I31" s="384"/>
      <c r="J31" s="337"/>
      <c r="K31" s="337"/>
      <c r="L31" s="337"/>
      <c r="M31" s="337"/>
      <c r="N31" s="337"/>
      <c r="O31" s="337"/>
      <c r="Q31" s="364"/>
      <c r="R31" s="369"/>
      <c r="S31" s="383">
        <f>IF(Q29=1,"Hiba 817. Sor:  az alap csökkentő nagyobb mint az alap!","")</f>
      </c>
      <c r="T31" s="369"/>
      <c r="U31" s="369"/>
      <c r="V31" s="370"/>
      <c r="W31" s="370"/>
      <c r="X31" s="370"/>
      <c r="Y31" s="370"/>
      <c r="Z31" s="370"/>
      <c r="AA31" s="370"/>
      <c r="AB31" s="370"/>
      <c r="AC31" s="370"/>
      <c r="AD31" s="1224"/>
      <c r="AE31" s="1224"/>
      <c r="AF31" s="1224"/>
      <c r="AG31" s="1224"/>
      <c r="AH31" s="369"/>
      <c r="AI31" s="369"/>
      <c r="AJ31" s="369"/>
      <c r="AK31" s="369"/>
      <c r="AL31" s="369"/>
      <c r="AM31" s="369"/>
      <c r="AN31" s="371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</row>
    <row r="32" spans="1:74" ht="12.75" customHeight="1" hidden="1">
      <c r="A32" s="387" t="s">
        <v>266</v>
      </c>
      <c r="B32" s="388"/>
      <c r="C32" s="388"/>
      <c r="D32" s="388"/>
      <c r="E32" s="1192"/>
      <c r="F32" s="1192"/>
      <c r="G32" s="1193"/>
      <c r="H32" s="667">
        <f>főkönyv!B99</f>
        <v>0</v>
      </c>
      <c r="I32" s="384"/>
      <c r="J32" s="337"/>
      <c r="K32" s="337"/>
      <c r="L32" s="337"/>
      <c r="M32" s="337"/>
      <c r="N32" s="337"/>
      <c r="O32" s="337"/>
      <c r="R32" s="383"/>
      <c r="S32" s="383"/>
      <c r="T32" s="383"/>
      <c r="U32" s="383"/>
      <c r="V32" s="370"/>
      <c r="W32" s="370"/>
      <c r="X32" s="370"/>
      <c r="Y32" s="370"/>
      <c r="Z32" s="370"/>
      <c r="AA32" s="370"/>
      <c r="AB32" s="370"/>
      <c r="AC32" s="370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</row>
    <row r="33" spans="1:74" ht="12.75" customHeight="1" hidden="1">
      <c r="A33" s="387" t="s">
        <v>267</v>
      </c>
      <c r="B33" s="388"/>
      <c r="C33" s="388"/>
      <c r="D33" s="388"/>
      <c r="E33" s="1192"/>
      <c r="F33" s="1192"/>
      <c r="G33" s="1193"/>
      <c r="H33" s="667">
        <f>főkönyv!B100</f>
        <v>0</v>
      </c>
      <c r="I33" s="384"/>
      <c r="J33" s="337"/>
      <c r="K33" s="337"/>
      <c r="L33" s="337"/>
      <c r="M33" s="337"/>
      <c r="N33" s="337"/>
      <c r="O33" s="337"/>
      <c r="Q33" s="364"/>
      <c r="R33" s="383"/>
      <c r="S33" s="383"/>
      <c r="T33" s="383"/>
      <c r="U33" s="383"/>
      <c r="V33" s="370"/>
      <c r="W33" s="370"/>
      <c r="X33" s="370"/>
      <c r="Y33" s="370"/>
      <c r="Z33" s="370"/>
      <c r="AA33" s="370"/>
      <c r="AB33" s="370"/>
      <c r="AC33" s="370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</row>
    <row r="34" spans="1:17" ht="12.75" customHeight="1" hidden="1">
      <c r="A34" s="387" t="s">
        <v>268</v>
      </c>
      <c r="B34" s="388"/>
      <c r="C34" s="388"/>
      <c r="D34" s="388"/>
      <c r="E34" s="1192"/>
      <c r="F34" s="1192"/>
      <c r="G34" s="1193"/>
      <c r="H34" s="667">
        <f>főkönyv!B101</f>
        <v>0</v>
      </c>
      <c r="I34" s="384"/>
      <c r="J34" s="337"/>
      <c r="K34" s="337"/>
      <c r="L34" s="337"/>
      <c r="M34" s="337"/>
      <c r="N34" s="337"/>
      <c r="O34" s="337"/>
      <c r="Q34" s="337"/>
    </row>
    <row r="35" spans="1:30" ht="15">
      <c r="A35" s="363" t="s">
        <v>269</v>
      </c>
      <c r="B35" s="1209" t="s">
        <v>672</v>
      </c>
      <c r="C35" s="1209"/>
      <c r="D35" s="1209"/>
      <c r="E35" s="1209"/>
      <c r="F35" s="1209"/>
      <c r="G35" s="1210"/>
      <c r="H35" s="666">
        <f>H28-H29</f>
        <v>0</v>
      </c>
      <c r="I35" s="384"/>
      <c r="J35" s="337"/>
      <c r="K35" s="337"/>
      <c r="L35" s="337"/>
      <c r="M35" s="337"/>
      <c r="N35" s="337"/>
      <c r="O35" s="337"/>
      <c r="R35" s="336">
        <f>R23*R28</f>
        <v>0</v>
      </c>
      <c r="V35" s="338">
        <f>V23*V28</f>
        <v>0</v>
      </c>
      <c r="Z35" s="389">
        <f>Z23*Z28</f>
        <v>0</v>
      </c>
      <c r="AD35" s="390">
        <f>AD23+AD28</f>
        <v>0</v>
      </c>
    </row>
    <row r="36" spans="1:21" ht="12" customHeight="1">
      <c r="A36" s="363" t="s">
        <v>270</v>
      </c>
      <c r="B36" s="1199" t="s">
        <v>673</v>
      </c>
      <c r="C36" s="1199"/>
      <c r="D36" s="1199"/>
      <c r="E36" s="1199"/>
      <c r="F36" s="1211">
        <f>alapadatok!J26</f>
        <v>0.017</v>
      </c>
      <c r="G36" s="1212"/>
      <c r="H36" s="666">
        <f>IF(H35&lt;0,0,ROUND(H35*F36,0))</f>
        <v>0</v>
      </c>
      <c r="I36" s="384"/>
      <c r="J36" s="337"/>
      <c r="K36" s="337"/>
      <c r="L36" s="337"/>
      <c r="M36" s="337"/>
      <c r="N36" s="337"/>
      <c r="O36" s="337"/>
      <c r="P36" s="361"/>
      <c r="R36" s="391"/>
      <c r="S36" s="391"/>
      <c r="T36" s="391"/>
      <c r="U36" s="391"/>
    </row>
    <row r="37" spans="1:24" ht="16.5" customHeight="1">
      <c r="A37" s="363" t="s">
        <v>271</v>
      </c>
      <c r="B37" s="1194" t="s">
        <v>272</v>
      </c>
      <c r="C37" s="1194"/>
      <c r="D37" s="1194"/>
      <c r="E37" s="1194"/>
      <c r="F37" s="1194"/>
      <c r="G37" s="1195"/>
      <c r="H37" s="1110">
        <f>IF(H23&lt;2500001,ROUND((H36/2),0),0)</f>
        <v>0</v>
      </c>
      <c r="I37" s="384"/>
      <c r="J37" s="337"/>
      <c r="K37" s="337"/>
      <c r="L37" s="337"/>
      <c r="M37" s="337"/>
      <c r="N37" s="337"/>
      <c r="O37" s="337"/>
      <c r="Q37" s="336">
        <f>IF(H38+H39+H40+H41&gt;H36,1,0)</f>
        <v>0</v>
      </c>
      <c r="R37" s="392"/>
      <c r="S37" s="392"/>
      <c r="T37" s="392"/>
      <c r="U37" s="392"/>
      <c r="V37" s="393"/>
      <c r="W37" s="393"/>
      <c r="X37" s="393"/>
    </row>
    <row r="38" spans="1:24" ht="12.75" customHeight="1" hidden="1">
      <c r="A38" s="387" t="s">
        <v>273</v>
      </c>
      <c r="B38" s="388"/>
      <c r="C38" s="388"/>
      <c r="D38" s="388"/>
      <c r="E38" s="1192"/>
      <c r="F38" s="1192"/>
      <c r="G38" s="1193"/>
      <c r="H38" s="667">
        <f>főkönyv!B107</f>
        <v>0</v>
      </c>
      <c r="I38" s="384"/>
      <c r="J38" s="337"/>
      <c r="K38" s="337"/>
      <c r="L38" s="337"/>
      <c r="M38" s="337"/>
      <c r="N38" s="337"/>
      <c r="O38" s="337"/>
      <c r="R38" s="392"/>
      <c r="S38" s="392">
        <f>IF(Q37=1,"Hiba 822. Sor:  a kedvezmény &gt; mint az adó","")</f>
      </c>
      <c r="T38" s="392"/>
      <c r="U38" s="392"/>
      <c r="V38" s="393"/>
      <c r="W38" s="393"/>
      <c r="X38" s="393"/>
    </row>
    <row r="39" spans="1:24" ht="12.75" customHeight="1" hidden="1">
      <c r="A39" s="387" t="s">
        <v>274</v>
      </c>
      <c r="B39" s="388"/>
      <c r="C39" s="388"/>
      <c r="D39" s="388"/>
      <c r="E39" s="1192"/>
      <c r="F39" s="1192"/>
      <c r="G39" s="1193"/>
      <c r="H39" s="667">
        <f>főkönyv!B108</f>
        <v>0</v>
      </c>
      <c r="I39" s="384"/>
      <c r="J39" s="337"/>
      <c r="K39" s="337"/>
      <c r="L39" s="337"/>
      <c r="M39" s="337"/>
      <c r="N39" s="337"/>
      <c r="O39" s="337"/>
      <c r="R39" s="392"/>
      <c r="S39" s="392"/>
      <c r="T39" s="392"/>
      <c r="U39" s="392"/>
      <c r="V39" s="393"/>
      <c r="W39" s="393"/>
      <c r="X39" s="393"/>
    </row>
    <row r="40" spans="1:15" ht="12.75" customHeight="1" hidden="1">
      <c r="A40" s="387" t="s">
        <v>275</v>
      </c>
      <c r="B40" s="388"/>
      <c r="C40" s="388"/>
      <c r="D40" s="388"/>
      <c r="E40" s="1192"/>
      <c r="F40" s="1192"/>
      <c r="G40" s="1193"/>
      <c r="H40" s="667">
        <f>főkönyv!B109</f>
        <v>0</v>
      </c>
      <c r="I40" s="384"/>
      <c r="J40" s="337"/>
      <c r="K40" s="337"/>
      <c r="L40" s="337"/>
      <c r="M40" s="337"/>
      <c r="N40" s="337"/>
      <c r="O40" s="337"/>
    </row>
    <row r="41" spans="1:15" ht="12.75" customHeight="1" hidden="1">
      <c r="A41" s="387" t="s">
        <v>276</v>
      </c>
      <c r="B41" s="388"/>
      <c r="C41" s="388"/>
      <c r="D41" s="388"/>
      <c r="E41" s="1192"/>
      <c r="F41" s="1192"/>
      <c r="G41" s="1193"/>
      <c r="H41" s="667">
        <f>főkönyv!B110</f>
        <v>0</v>
      </c>
      <c r="I41" s="384"/>
      <c r="J41" s="337"/>
      <c r="K41" s="337"/>
      <c r="L41" s="337"/>
      <c r="M41" s="337"/>
      <c r="N41" s="337"/>
      <c r="O41" s="337"/>
    </row>
    <row r="42" spans="1:41" ht="27" customHeight="1">
      <c r="A42" s="363" t="s">
        <v>277</v>
      </c>
      <c r="B42" s="1194" t="s">
        <v>278</v>
      </c>
      <c r="C42" s="1194"/>
      <c r="D42" s="1194"/>
      <c r="E42" s="1194"/>
      <c r="F42" s="1194"/>
      <c r="G42" s="1195"/>
      <c r="H42" s="771"/>
      <c r="I42" s="384"/>
      <c r="J42" s="337"/>
      <c r="K42" s="337"/>
      <c r="L42" s="337"/>
      <c r="M42" s="337"/>
      <c r="N42" s="337"/>
      <c r="O42" s="337"/>
      <c r="AM42" s="726" t="s">
        <v>443</v>
      </c>
      <c r="AN42" s="726"/>
      <c r="AO42" s="727">
        <v>1</v>
      </c>
    </row>
    <row r="43" spans="1:35" ht="27.75" customHeight="1">
      <c r="A43" s="363" t="s">
        <v>279</v>
      </c>
      <c r="B43" s="1194" t="s">
        <v>375</v>
      </c>
      <c r="C43" s="1194"/>
      <c r="D43" s="1194"/>
      <c r="E43" s="1194"/>
      <c r="F43" s="1194"/>
      <c r="G43" s="1195"/>
      <c r="H43" s="771"/>
      <c r="I43" s="384"/>
      <c r="J43" s="337"/>
      <c r="K43" s="337"/>
      <c r="L43" s="337"/>
      <c r="M43" s="337"/>
      <c r="N43" s="337"/>
      <c r="O43" s="337"/>
      <c r="AI43" s="394" t="s">
        <v>280</v>
      </c>
    </row>
    <row r="44" spans="1:40" ht="14.25" customHeight="1">
      <c r="A44" s="363" t="s">
        <v>281</v>
      </c>
      <c r="B44" s="1198" t="s">
        <v>376</v>
      </c>
      <c r="C44" s="1198"/>
      <c r="D44" s="1198"/>
      <c r="E44" s="1198"/>
      <c r="F44" s="1198"/>
      <c r="G44" s="1199"/>
      <c r="H44" s="666">
        <f>IF(AI44="i",Q47,Q46)</f>
        <v>0</v>
      </c>
      <c r="I44" s="384"/>
      <c r="J44" s="337"/>
      <c r="K44" s="337"/>
      <c r="L44" s="337"/>
      <c r="M44" s="337"/>
      <c r="N44" s="337"/>
      <c r="O44" s="337"/>
      <c r="Q44" s="336" t="s">
        <v>282</v>
      </c>
      <c r="AI44" s="395" t="s">
        <v>105</v>
      </c>
      <c r="AJ44" s="396" t="s">
        <v>283</v>
      </c>
      <c r="AN44" s="413" t="e">
        <f>ROUND((ROUND((H36/alapadatok!J26*alapadatok!L26),2)/AN46*366*AO42),-2)</f>
        <v>#VALUE!</v>
      </c>
    </row>
    <row r="45" spans="1:17" ht="13.5" customHeight="1">
      <c r="A45" s="363" t="s">
        <v>284</v>
      </c>
      <c r="B45" s="1209" t="s">
        <v>770</v>
      </c>
      <c r="C45" s="1209"/>
      <c r="D45" s="1209"/>
      <c r="E45" s="1209"/>
      <c r="F45" s="1209"/>
      <c r="G45" s="1210"/>
      <c r="H45" s="769">
        <v>0</v>
      </c>
      <c r="I45" s="384"/>
      <c r="J45" s="337"/>
      <c r="K45" s="337"/>
      <c r="L45" s="337"/>
      <c r="M45" s="337"/>
      <c r="N45" s="337"/>
      <c r="O45" s="337"/>
      <c r="Q45" s="744">
        <f>H36-H37-H42-H43</f>
        <v>0</v>
      </c>
    </row>
    <row r="46" spans="1:41" ht="14.25" customHeight="1">
      <c r="A46" s="363" t="s">
        <v>296</v>
      </c>
      <c r="B46" s="1209" t="s">
        <v>297</v>
      </c>
      <c r="C46" s="1209"/>
      <c r="D46" s="1209"/>
      <c r="E46" s="1209"/>
      <c r="F46" s="1209"/>
      <c r="G46" s="1210"/>
      <c r="H46" s="769"/>
      <c r="I46" s="384"/>
      <c r="J46" s="337"/>
      <c r="K46" s="337"/>
      <c r="L46" s="337"/>
      <c r="M46" s="337"/>
      <c r="N46" s="337"/>
      <c r="O46" s="337"/>
      <c r="Q46" s="413">
        <f>IF(Q45&gt;0,Q45,0)</f>
        <v>0</v>
      </c>
      <c r="AJ46" s="336" t="s">
        <v>318</v>
      </c>
      <c r="AN46" s="801" t="e">
        <f>'1. oldal'!AO43</f>
        <v>#VALUE!</v>
      </c>
      <c r="AO46" s="336" t="s">
        <v>317</v>
      </c>
    </row>
    <row r="47" spans="1:40" ht="13.5" customHeight="1">
      <c r="A47" s="363" t="s">
        <v>298</v>
      </c>
      <c r="B47" s="397" t="s">
        <v>379</v>
      </c>
      <c r="C47" s="398"/>
      <c r="D47" s="398"/>
      <c r="E47" s="1207">
        <f>IF(H47&lt;0," Töltse ki a G lapot!","")</f>
      </c>
      <c r="F47" s="1207"/>
      <c r="G47" s="1208"/>
      <c r="H47" s="664">
        <f>H44-H45-H46</f>
        <v>0</v>
      </c>
      <c r="I47" s="384"/>
      <c r="J47" s="337"/>
      <c r="K47" s="337"/>
      <c r="L47" s="337"/>
      <c r="M47" s="337"/>
      <c r="N47" s="337"/>
      <c r="O47" s="337"/>
      <c r="Q47" s="413">
        <f>IF(Q45&gt;0,ROUND(Q45/100,0)*100,0)</f>
        <v>0</v>
      </c>
      <c r="AL47" s="336" t="s">
        <v>696</v>
      </c>
      <c r="AN47" s="336">
        <f>IF('1. oldal'!C29="",0,1)</f>
        <v>0</v>
      </c>
    </row>
    <row r="48" spans="1:15" ht="15" hidden="1">
      <c r="A48" s="399"/>
      <c r="B48" s="400"/>
      <c r="C48" s="400"/>
      <c r="D48" s="400"/>
      <c r="E48" s="1196"/>
      <c r="F48" s="1196"/>
      <c r="G48" s="1197"/>
      <c r="H48" s="664"/>
      <c r="I48" s="384"/>
      <c r="J48" s="337"/>
      <c r="K48" s="337"/>
      <c r="L48" s="337"/>
      <c r="M48" s="337"/>
      <c r="N48" s="337"/>
      <c r="O48" s="337"/>
    </row>
    <row r="49" spans="1:15" ht="3" customHeight="1">
      <c r="A49" s="363"/>
      <c r="B49" s="401"/>
      <c r="C49" s="401"/>
      <c r="D49" s="401"/>
      <c r="E49" s="402"/>
      <c r="F49" s="402"/>
      <c r="G49" s="402"/>
      <c r="H49" s="668"/>
      <c r="I49" s="384"/>
      <c r="J49" s="337"/>
      <c r="K49" s="337"/>
      <c r="L49" s="337"/>
      <c r="M49" s="337"/>
      <c r="N49" s="337"/>
      <c r="O49" s="337"/>
    </row>
    <row r="50" spans="1:40" ht="12.75" customHeight="1">
      <c r="A50" s="363" t="s">
        <v>299</v>
      </c>
      <c r="B50" s="1209" t="s">
        <v>300</v>
      </c>
      <c r="C50" s="1209"/>
      <c r="D50" s="1209"/>
      <c r="E50" s="1209"/>
      <c r="F50" s="1209"/>
      <c r="G50" s="1210"/>
      <c r="H50" s="770"/>
      <c r="I50" s="1217"/>
      <c r="J50" s="1217"/>
      <c r="K50" s="1217"/>
      <c r="L50" s="1217"/>
      <c r="M50" s="1217"/>
      <c r="N50" s="1217"/>
      <c r="O50" s="1217"/>
      <c r="AN50" s="336" t="e">
        <f>MAX(((AN44)-AJ70),0)</f>
        <v>#VALUE!</v>
      </c>
    </row>
    <row r="51" spans="1:15" ht="12.75" customHeight="1">
      <c r="A51" s="363" t="s">
        <v>79</v>
      </c>
      <c r="B51" s="1209" t="s">
        <v>674</v>
      </c>
      <c r="C51" s="1209"/>
      <c r="D51" s="1209"/>
      <c r="E51" s="1209"/>
      <c r="F51" s="1209"/>
      <c r="G51" s="1210"/>
      <c r="H51" s="770"/>
      <c r="I51" s="911"/>
      <c r="J51" s="911"/>
      <c r="K51" s="911"/>
      <c r="L51" s="911"/>
      <c r="M51" s="911"/>
      <c r="N51" s="911"/>
      <c r="O51" s="911"/>
    </row>
    <row r="52" spans="1:29" s="394" customFormat="1" ht="15" hidden="1">
      <c r="A52" s="403" t="s">
        <v>301</v>
      </c>
      <c r="B52" s="403"/>
      <c r="C52" s="403"/>
      <c r="D52" s="403"/>
      <c r="E52" s="1218" t="s">
        <v>302</v>
      </c>
      <c r="F52" s="1218"/>
      <c r="G52" s="1218"/>
      <c r="V52" s="405"/>
      <c r="W52" s="405"/>
      <c r="X52" s="405"/>
      <c r="Y52" s="405"/>
      <c r="Z52" s="405"/>
      <c r="AA52" s="405"/>
      <c r="AB52" s="405"/>
      <c r="AC52" s="405"/>
    </row>
    <row r="53" spans="1:29" s="394" customFormat="1" ht="15" hidden="1">
      <c r="A53" s="404" t="s">
        <v>303</v>
      </c>
      <c r="B53" s="404"/>
      <c r="C53" s="404"/>
      <c r="D53" s="404"/>
      <c r="E53" s="404"/>
      <c r="F53" s="404"/>
      <c r="G53" s="404"/>
      <c r="V53" s="405"/>
      <c r="W53" s="405"/>
      <c r="X53" s="405"/>
      <c r="Y53" s="405"/>
      <c r="Z53" s="405"/>
      <c r="AA53" s="405"/>
      <c r="AB53" s="405"/>
      <c r="AC53" s="405"/>
    </row>
    <row r="54" spans="1:29" s="394" customFormat="1" ht="15" hidden="1">
      <c r="A54" s="404" t="s">
        <v>304</v>
      </c>
      <c r="B54" s="404"/>
      <c r="C54" s="404"/>
      <c r="D54" s="404"/>
      <c r="E54" s="404"/>
      <c r="F54" s="404"/>
      <c r="G54" s="404"/>
      <c r="V54" s="405"/>
      <c r="W54" s="405"/>
      <c r="X54" s="405"/>
      <c r="Y54" s="405"/>
      <c r="Z54" s="405"/>
      <c r="AA54" s="405"/>
      <c r="AB54" s="405"/>
      <c r="AC54" s="405"/>
    </row>
    <row r="55" spans="1:29" s="394" customFormat="1" ht="15" hidden="1">
      <c r="A55" s="394" t="s">
        <v>305</v>
      </c>
      <c r="E55" s="404"/>
      <c r="F55" s="404"/>
      <c r="G55" s="404"/>
      <c r="V55" s="405"/>
      <c r="W55" s="405"/>
      <c r="X55" s="405"/>
      <c r="Y55" s="405"/>
      <c r="Z55" s="405"/>
      <c r="AA55" s="405"/>
      <c r="AB55" s="405"/>
      <c r="AC55" s="405"/>
    </row>
    <row r="56" spans="5:29" s="394" customFormat="1" ht="12.75" customHeight="1" hidden="1">
      <c r="E56" s="1201" t="s">
        <v>306</v>
      </c>
      <c r="F56" s="1201"/>
      <c r="G56" s="1201"/>
      <c r="K56" s="406">
        <f>IF(I100+L100=2,"",K100)</f>
      </c>
      <c r="L56" s="407"/>
      <c r="M56" s="407"/>
      <c r="N56" s="407"/>
      <c r="O56" s="407"/>
      <c r="V56" s="405"/>
      <c r="W56" s="405"/>
      <c r="X56" s="405"/>
      <c r="Y56" s="405"/>
      <c r="Z56" s="405"/>
      <c r="AA56" s="405"/>
      <c r="AB56" s="405"/>
      <c r="AC56" s="405"/>
    </row>
    <row r="57" spans="5:29" s="394" customFormat="1" ht="12.75" customHeight="1" hidden="1">
      <c r="E57" s="1201" t="s">
        <v>307</v>
      </c>
      <c r="F57" s="1201"/>
      <c r="G57" s="1201"/>
      <c r="K57" s="406">
        <f>IF(I101+L101=2,"",K101)</f>
      </c>
      <c r="L57" s="407"/>
      <c r="M57" s="407"/>
      <c r="N57" s="407"/>
      <c r="O57" s="407"/>
      <c r="V57" s="405"/>
      <c r="W57" s="405"/>
      <c r="X57" s="405"/>
      <c r="Y57" s="405"/>
      <c r="Z57" s="405"/>
      <c r="AA57" s="405"/>
      <c r="AB57" s="405"/>
      <c r="AC57" s="405"/>
    </row>
    <row r="58" spans="5:29" s="394" customFormat="1" ht="15.75" hidden="1">
      <c r="E58" s="1201" t="s">
        <v>308</v>
      </c>
      <c r="F58" s="1201"/>
      <c r="G58" s="1201"/>
      <c r="K58" s="406">
        <f>IF(I104=3,"X","")</f>
      </c>
      <c r="L58" s="407"/>
      <c r="M58" s="407"/>
      <c r="N58" s="407"/>
      <c r="O58" s="407"/>
      <c r="V58" s="405"/>
      <c r="W58" s="405"/>
      <c r="X58" s="405"/>
      <c r="Y58" s="405"/>
      <c r="Z58" s="405"/>
      <c r="AA58" s="405"/>
      <c r="AB58" s="405"/>
      <c r="AC58" s="405"/>
    </row>
    <row r="59" spans="5:29" s="394" customFormat="1" ht="15.75" hidden="1">
      <c r="E59" s="408" t="s">
        <v>309</v>
      </c>
      <c r="F59" s="408"/>
      <c r="G59" s="409"/>
      <c r="K59" s="406">
        <f>IF(I103+L103=2,"",K103)</f>
      </c>
      <c r="L59" s="407"/>
      <c r="M59" s="407"/>
      <c r="N59" s="407"/>
      <c r="O59" s="407"/>
      <c r="V59" s="405"/>
      <c r="W59" s="405"/>
      <c r="X59" s="405"/>
      <c r="Y59" s="405"/>
      <c r="Z59" s="405"/>
      <c r="AA59" s="405"/>
      <c r="AB59" s="405"/>
      <c r="AC59" s="405"/>
    </row>
    <row r="60" spans="5:29" s="394" customFormat="1" ht="1.5" customHeight="1">
      <c r="E60" s="408"/>
      <c r="F60" s="408"/>
      <c r="G60" s="409"/>
      <c r="K60" s="410"/>
      <c r="L60" s="407"/>
      <c r="M60" s="407"/>
      <c r="N60" s="407"/>
      <c r="O60" s="407"/>
      <c r="V60" s="405"/>
      <c r="W60" s="405"/>
      <c r="X60" s="405"/>
      <c r="Y60" s="405"/>
      <c r="Z60" s="405"/>
      <c r="AA60" s="405"/>
      <c r="AB60" s="405"/>
      <c r="AC60" s="405"/>
    </row>
    <row r="61" spans="1:40" s="394" customFormat="1" ht="15" customHeight="1">
      <c r="A61" s="411" t="s">
        <v>310</v>
      </c>
      <c r="B61" s="1221" t="s">
        <v>311</v>
      </c>
      <c r="C61" s="1221"/>
      <c r="D61" s="1221"/>
      <c r="E61" s="1221"/>
      <c r="F61" s="1221"/>
      <c r="G61" s="1221"/>
      <c r="K61" s="410"/>
      <c r="L61" s="407"/>
      <c r="M61" s="407"/>
      <c r="N61" s="407"/>
      <c r="O61" s="407"/>
      <c r="V61" s="405"/>
      <c r="W61" s="405"/>
      <c r="X61" s="405"/>
      <c r="Y61" s="405"/>
      <c r="Z61" s="405"/>
      <c r="AA61" s="405"/>
      <c r="AB61" s="405"/>
      <c r="AC61" s="405"/>
      <c r="AN61" s="394" t="e">
        <f>AN44/2</f>
        <v>#VALUE!</v>
      </c>
    </row>
    <row r="62" spans="5:29" s="394" customFormat="1" ht="2.25" customHeight="1">
      <c r="E62" s="408"/>
      <c r="F62" s="408"/>
      <c r="G62" s="409"/>
      <c r="K62" s="410"/>
      <c r="L62" s="407"/>
      <c r="M62" s="407"/>
      <c r="N62" s="407"/>
      <c r="O62" s="407"/>
      <c r="V62" s="405"/>
      <c r="W62" s="405"/>
      <c r="X62" s="405"/>
      <c r="Y62" s="405"/>
      <c r="Z62" s="405"/>
      <c r="AA62" s="405"/>
      <c r="AB62" s="405"/>
      <c r="AC62" s="405"/>
    </row>
    <row r="63" spans="1:36" s="394" customFormat="1" ht="15.75">
      <c r="A63" s="1222" t="s">
        <v>312</v>
      </c>
      <c r="B63" s="1222"/>
      <c r="C63" s="1222"/>
      <c r="D63" s="1222"/>
      <c r="E63" s="1059">
        <v>41456</v>
      </c>
      <c r="F63" s="412" t="s">
        <v>161</v>
      </c>
      <c r="G63" s="409"/>
      <c r="H63" s="1059">
        <v>41820</v>
      </c>
      <c r="I63" s="336" t="s">
        <v>162</v>
      </c>
      <c r="K63" s="410"/>
      <c r="L63" s="407"/>
      <c r="M63" s="407"/>
      <c r="N63" s="407"/>
      <c r="O63" s="407"/>
      <c r="V63" s="405"/>
      <c r="W63" s="405"/>
      <c r="X63" s="405"/>
      <c r="Y63" s="405"/>
      <c r="Z63" s="405"/>
      <c r="AA63" s="405"/>
      <c r="AB63" s="405"/>
      <c r="AC63" s="405"/>
      <c r="AJ63" s="394" t="s">
        <v>313</v>
      </c>
    </row>
    <row r="64" spans="1:29" s="394" customFormat="1" ht="1.5" customHeight="1">
      <c r="A64" s="413"/>
      <c r="B64" s="414"/>
      <c r="C64" s="414"/>
      <c r="D64" s="415"/>
      <c r="E64" s="416"/>
      <c r="F64" s="412"/>
      <c r="G64" s="409"/>
      <c r="H64" s="417"/>
      <c r="I64" s="336"/>
      <c r="K64" s="410"/>
      <c r="L64" s="407"/>
      <c r="M64" s="407"/>
      <c r="N64" s="407"/>
      <c r="O64" s="407"/>
      <c r="V64" s="405"/>
      <c r="W64" s="405"/>
      <c r="X64" s="405"/>
      <c r="Y64" s="405"/>
      <c r="Z64" s="405"/>
      <c r="AA64" s="405"/>
      <c r="AB64" s="405"/>
      <c r="AC64" s="405"/>
    </row>
    <row r="65" spans="1:29" s="394" customFormat="1" ht="12" customHeight="1">
      <c r="A65" s="413"/>
      <c r="B65" s="414"/>
      <c r="C65" s="414"/>
      <c r="D65" s="415"/>
      <c r="E65" s="418" t="s">
        <v>314</v>
      </c>
      <c r="F65" s="412"/>
      <c r="G65" s="409"/>
      <c r="H65" s="418" t="s">
        <v>315</v>
      </c>
      <c r="I65" s="336"/>
      <c r="K65" s="410"/>
      <c r="L65" s="407"/>
      <c r="M65" s="407"/>
      <c r="N65" s="407"/>
      <c r="O65" s="407"/>
      <c r="V65" s="405"/>
      <c r="W65" s="405"/>
      <c r="X65" s="405"/>
      <c r="Y65" s="405"/>
      <c r="Z65" s="405"/>
      <c r="AA65" s="405"/>
      <c r="AB65" s="405"/>
      <c r="AC65" s="405"/>
    </row>
    <row r="66" spans="1:29" s="421" customFormat="1" ht="1.5" customHeight="1">
      <c r="A66" s="419"/>
      <c r="B66" s="415"/>
      <c r="C66" s="415"/>
      <c r="D66" s="415"/>
      <c r="E66" s="416"/>
      <c r="F66" s="420"/>
      <c r="G66" s="409"/>
      <c r="H66" s="417"/>
      <c r="I66" s="337"/>
      <c r="K66" s="410"/>
      <c r="L66" s="407"/>
      <c r="M66" s="407"/>
      <c r="N66" s="407"/>
      <c r="O66" s="407"/>
      <c r="V66" s="405"/>
      <c r="W66" s="405"/>
      <c r="X66" s="405"/>
      <c r="Y66" s="405"/>
      <c r="Z66" s="405"/>
      <c r="AA66" s="405"/>
      <c r="AB66" s="405"/>
      <c r="AC66" s="405"/>
    </row>
    <row r="67" spans="1:43" s="394" customFormat="1" ht="15.75">
      <c r="A67" s="1222" t="s">
        <v>399</v>
      </c>
      <c r="B67" s="1222"/>
      <c r="C67" s="1222"/>
      <c r="D67" s="1222"/>
      <c r="E67" s="1059">
        <v>41532</v>
      </c>
      <c r="F67" s="412" t="s">
        <v>210</v>
      </c>
      <c r="G67" s="409"/>
      <c r="H67" s="768" t="e">
        <f>'2013EL'!H67</f>
        <v>#VALUE!</v>
      </c>
      <c r="I67" s="336"/>
      <c r="K67" s="410"/>
      <c r="L67" s="407"/>
      <c r="M67" s="407"/>
      <c r="N67" s="407"/>
      <c r="O67" s="407"/>
      <c r="V67" s="405"/>
      <c r="W67" s="405"/>
      <c r="X67" s="405"/>
      <c r="Y67" s="405"/>
      <c r="Z67" s="405"/>
      <c r="AA67" s="405"/>
      <c r="AB67" s="405"/>
      <c r="AC67" s="405"/>
      <c r="AO67" s="1205">
        <v>40983</v>
      </c>
      <c r="AP67" s="1205"/>
      <c r="AQ67" s="1205"/>
    </row>
    <row r="68" spans="1:29" s="394" customFormat="1" ht="12.75" customHeight="1" hidden="1">
      <c r="A68" s="413"/>
      <c r="B68" s="414"/>
      <c r="C68" s="414"/>
      <c r="D68" s="415"/>
      <c r="E68" s="416"/>
      <c r="F68" s="412"/>
      <c r="G68" s="409"/>
      <c r="H68" s="417"/>
      <c r="I68" s="336"/>
      <c r="K68" s="410"/>
      <c r="L68" s="407"/>
      <c r="M68" s="407"/>
      <c r="N68" s="407"/>
      <c r="O68" s="407"/>
      <c r="V68" s="405"/>
      <c r="W68" s="405"/>
      <c r="X68" s="405"/>
      <c r="Y68" s="405"/>
      <c r="Z68" s="405"/>
      <c r="AA68" s="405"/>
      <c r="AB68" s="405"/>
      <c r="AC68" s="405"/>
    </row>
    <row r="69" spans="1:29" s="394" customFormat="1" ht="10.5" customHeight="1">
      <c r="A69" s="1206" t="s">
        <v>377</v>
      </c>
      <c r="B69" s="1206"/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V69" s="405"/>
      <c r="W69" s="405"/>
      <c r="X69" s="405"/>
      <c r="Y69" s="405"/>
      <c r="Z69" s="405"/>
      <c r="AA69" s="405"/>
      <c r="AB69" s="405"/>
      <c r="AC69" s="405"/>
    </row>
    <row r="70" spans="1:38" s="394" customFormat="1" ht="15.75">
      <c r="A70" s="1222" t="s">
        <v>400</v>
      </c>
      <c r="B70" s="1222"/>
      <c r="C70" s="1222"/>
      <c r="D70" s="1222"/>
      <c r="E70" s="1059">
        <v>41713</v>
      </c>
      <c r="F70" s="412" t="s">
        <v>210</v>
      </c>
      <c r="G70" s="409"/>
      <c r="H70" s="768" t="e">
        <f>'2013EL'!H70</f>
        <v>#VALUE!</v>
      </c>
      <c r="I70" s="336"/>
      <c r="K70" s="410"/>
      <c r="L70" s="407"/>
      <c r="M70" s="407"/>
      <c r="N70" s="407"/>
      <c r="O70" s="407"/>
      <c r="V70" s="405"/>
      <c r="W70" s="405"/>
      <c r="X70" s="405"/>
      <c r="Y70" s="405"/>
      <c r="Z70" s="405"/>
      <c r="AA70" s="405"/>
      <c r="AB70" s="405"/>
      <c r="AC70" s="405"/>
      <c r="AJ70" s="1213">
        <v>0</v>
      </c>
      <c r="AK70" s="1214"/>
      <c r="AL70" s="1214"/>
    </row>
    <row r="71" spans="1:36" s="394" customFormat="1" ht="12" customHeight="1">
      <c r="A71" s="1206" t="s">
        <v>378</v>
      </c>
      <c r="B71" s="1206"/>
      <c r="C71" s="1206"/>
      <c r="D71" s="1206"/>
      <c r="E71" s="1206"/>
      <c r="F71" s="1206"/>
      <c r="G71" s="1206"/>
      <c r="H71" s="1206"/>
      <c r="I71" s="1206"/>
      <c r="J71" s="1206"/>
      <c r="K71" s="1206"/>
      <c r="L71" s="1206"/>
      <c r="M71" s="1206"/>
      <c r="N71" s="1206"/>
      <c r="O71" s="1206"/>
      <c r="V71" s="405"/>
      <c r="W71" s="405"/>
      <c r="X71" s="405"/>
      <c r="Y71" s="405"/>
      <c r="Z71" s="405"/>
      <c r="AA71" s="405"/>
      <c r="AB71" s="405"/>
      <c r="AC71" s="405"/>
      <c r="AJ71" s="394" t="s">
        <v>381</v>
      </c>
    </row>
    <row r="72" spans="5:29" s="394" customFormat="1" ht="12.75" customHeight="1" hidden="1">
      <c r="E72" s="408"/>
      <c r="F72" s="408"/>
      <c r="G72" s="409"/>
      <c r="K72" s="410"/>
      <c r="L72" s="407"/>
      <c r="M72" s="407"/>
      <c r="N72" s="407"/>
      <c r="O72" s="407"/>
      <c r="V72" s="405"/>
      <c r="W72" s="405"/>
      <c r="X72" s="405"/>
      <c r="Y72" s="405"/>
      <c r="Z72" s="405"/>
      <c r="AA72" s="405"/>
      <c r="AB72" s="405"/>
      <c r="AC72" s="405"/>
    </row>
    <row r="73" spans="1:15" ht="12.75" customHeight="1" hidden="1">
      <c r="A73" s="337"/>
      <c r="E73" s="412"/>
      <c r="F73" s="412"/>
      <c r="G73" s="422"/>
      <c r="K73" s="423"/>
      <c r="L73" s="232"/>
      <c r="M73" s="232"/>
      <c r="N73" s="232"/>
      <c r="O73" s="232"/>
    </row>
    <row r="74" spans="1:15" ht="15.75" hidden="1">
      <c r="A74" s="308" t="s">
        <v>316</v>
      </c>
      <c r="E74" s="412"/>
      <c r="F74" s="412"/>
      <c r="G74" s="422"/>
      <c r="K74" s="423"/>
      <c r="L74" s="232"/>
      <c r="M74" s="232"/>
      <c r="N74" s="232"/>
      <c r="O74" s="232"/>
    </row>
    <row r="75" spans="1:15" ht="13.5" customHeight="1" hidden="1">
      <c r="A75" s="201" t="s">
        <v>81</v>
      </c>
      <c r="E75" s="412"/>
      <c r="F75" s="412"/>
      <c r="G75" s="422"/>
      <c r="K75" s="423"/>
      <c r="L75" s="232"/>
      <c r="M75" s="232"/>
      <c r="N75" s="232"/>
      <c r="O75" s="232"/>
    </row>
    <row r="76" spans="5:15" ht="3" customHeight="1" hidden="1">
      <c r="E76" s="412"/>
      <c r="F76" s="412"/>
      <c r="G76" s="422"/>
      <c r="K76" s="423"/>
      <c r="L76" s="232"/>
      <c r="M76" s="232"/>
      <c r="N76" s="232"/>
      <c r="O76" s="232"/>
    </row>
    <row r="77" spans="2:39" ht="13.5" customHeight="1" hidden="1">
      <c r="B77" s="424" t="str">
        <f>IF(alapadatok!D174="","",alapadatok!D174)</f>
        <v>X</v>
      </c>
      <c r="D77" s="336" t="s">
        <v>64</v>
      </c>
      <c r="E77" s="412"/>
      <c r="F77" s="412"/>
      <c r="G77" s="424">
        <f>IF(alapadatok!D175="","",alapadatok!D175)</f>
      </c>
      <c r="H77" s="336" t="s">
        <v>319</v>
      </c>
      <c r="K77" s="423"/>
      <c r="L77" s="232"/>
      <c r="M77" s="232"/>
      <c r="N77" s="232"/>
      <c r="O77" s="232"/>
      <c r="R77" s="343">
        <f>IF(B77="",0,1)</f>
        <v>1</v>
      </c>
      <c r="S77" s="343"/>
      <c r="T77" s="343"/>
      <c r="U77" s="343"/>
      <c r="V77" s="342"/>
      <c r="W77" s="342"/>
      <c r="X77" s="342"/>
      <c r="Y77" s="342"/>
      <c r="Z77" s="342"/>
      <c r="AA77" s="342"/>
      <c r="AB77" s="342"/>
      <c r="AC77" s="342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</row>
    <row r="78" spans="1:45" s="798" customFormat="1" ht="17.25" customHeight="1">
      <c r="A78" s="1215" t="str">
        <f>AS78</f>
        <v>Más adóhatóságnál (állami, önkormányzati adóhatóságnál, vámhatóságnál, illetékhivatalnál) nincs tartozásom. </v>
      </c>
      <c r="B78" s="1215"/>
      <c r="C78" s="1215"/>
      <c r="D78" s="1215"/>
      <c r="E78" s="1215"/>
      <c r="F78" s="1215"/>
      <c r="G78" s="1215"/>
      <c r="H78" s="1215"/>
      <c r="I78" s="1215"/>
      <c r="J78" s="1215"/>
      <c r="K78" s="1215"/>
      <c r="L78" s="1215"/>
      <c r="M78" s="1215"/>
      <c r="N78" s="1216"/>
      <c r="O78" s="800"/>
      <c r="R78" s="798">
        <f>IF(G77="",0,1)</f>
        <v>0</v>
      </c>
      <c r="S78" s="798">
        <f>R77+R78</f>
        <v>1</v>
      </c>
      <c r="V78" s="799"/>
      <c r="W78" s="799"/>
      <c r="X78" s="799"/>
      <c r="Y78" s="799"/>
      <c r="Z78" s="799"/>
      <c r="AA78" s="799"/>
      <c r="AB78" s="799"/>
      <c r="AC78" s="799"/>
      <c r="AS78" s="798" t="s">
        <v>320</v>
      </c>
    </row>
    <row r="79" spans="1:39" s="250" customFormat="1" ht="15">
      <c r="A79" s="308" t="s">
        <v>82</v>
      </c>
      <c r="B79" s="257" t="s">
        <v>321</v>
      </c>
      <c r="C79" s="257"/>
      <c r="D79" s="257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6"/>
      <c r="AH79" s="325"/>
      <c r="AI79" s="325"/>
      <c r="AJ79" s="325"/>
      <c r="AK79" s="325"/>
      <c r="AL79" s="325"/>
      <c r="AM79" s="325"/>
    </row>
    <row r="80" spans="1:39" s="250" customFormat="1" ht="5.25" customHeight="1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6"/>
      <c r="AH80" s="325"/>
      <c r="AI80" s="325"/>
      <c r="AJ80" s="325"/>
      <c r="AK80" s="325"/>
      <c r="AL80" s="325"/>
      <c r="AM80" s="325"/>
    </row>
    <row r="81" spans="1:39" s="250" customFormat="1" ht="15.75">
      <c r="A81" s="240"/>
      <c r="B81" s="1200" t="s">
        <v>130</v>
      </c>
      <c r="C81" s="1200"/>
      <c r="D81" s="1200"/>
      <c r="E81" s="773">
        <v>2013</v>
      </c>
      <c r="F81" s="428"/>
      <c r="G81" s="429" t="s">
        <v>134</v>
      </c>
      <c r="H81" s="773"/>
      <c r="I81" s="258" t="s">
        <v>135</v>
      </c>
      <c r="L81" s="240"/>
      <c r="M81" s="240"/>
      <c r="N81" s="773"/>
      <c r="O81" s="240" t="s">
        <v>210</v>
      </c>
      <c r="P81" s="240"/>
      <c r="Q81" s="240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6"/>
      <c r="AH81" s="325"/>
      <c r="AI81" s="325">
        <f>IF(B81="",0,1)</f>
        <v>1</v>
      </c>
      <c r="AJ81" s="325">
        <f>IF(E81="",0,1)</f>
        <v>1</v>
      </c>
      <c r="AK81" s="325">
        <f>IF(H81="",0,1)</f>
        <v>0</v>
      </c>
      <c r="AL81" s="325">
        <f>IF(N81="",0,1)</f>
        <v>0</v>
      </c>
      <c r="AM81" s="325">
        <f>AI81+AJ81+AK81+AL81</f>
        <v>2</v>
      </c>
    </row>
    <row r="82" spans="1:39" s="250" customFormat="1" ht="15">
      <c r="A82" s="240"/>
      <c r="B82" s="430" t="s">
        <v>322</v>
      </c>
      <c r="C82" s="430"/>
      <c r="D82" s="430" t="str">
        <f>E82</f>
        <v>www.iparuzes.hu                   .</v>
      </c>
      <c r="E82" s="431" t="str">
        <f>IF(Reg!K30="sikeres regisztráció",Reg!K26,"DEMÓ FELHASZNÁLÓ. KÉREM, REGISZTRÁLJA!")</f>
        <v>www.iparuzes.hu                   .</v>
      </c>
      <c r="F82" s="432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6"/>
      <c r="AH82" s="325"/>
      <c r="AI82" s="325"/>
      <c r="AJ82" s="325"/>
      <c r="AK82" s="325"/>
      <c r="AL82" s="325"/>
      <c r="AM82" s="325"/>
    </row>
    <row r="83" spans="1:33" s="250" customFormat="1" ht="6" customHeight="1">
      <c r="A83" s="240"/>
      <c r="B83" s="240"/>
      <c r="C83" s="240"/>
      <c r="D83" s="240"/>
      <c r="E83" s="240"/>
      <c r="F83" s="240"/>
      <c r="G83" s="1191"/>
      <c r="H83" s="1191"/>
      <c r="I83" s="1191"/>
      <c r="J83" s="1191"/>
      <c r="K83" s="1191"/>
      <c r="L83" s="1191"/>
      <c r="M83" s="1191"/>
      <c r="N83" s="1191"/>
      <c r="O83" s="1191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</row>
    <row r="84" spans="1:33" s="250" customFormat="1" ht="13.5" customHeight="1">
      <c r="A84" s="433">
        <f>IF(B84="",0,1)</f>
        <v>0</v>
      </c>
      <c r="B84" s="434">
        <f>IF(S78=1,"","Hibás az előleg nyilatkozat!")</f>
      </c>
      <c r="C84" s="240"/>
      <c r="D84" s="240"/>
      <c r="E84" s="240"/>
      <c r="F84" s="240"/>
      <c r="G84" s="1220" t="s">
        <v>323</v>
      </c>
      <c r="H84" s="1220"/>
      <c r="I84" s="1220"/>
      <c r="J84" s="1220"/>
      <c r="K84" s="1220"/>
      <c r="L84" s="1220"/>
      <c r="M84" s="1220"/>
      <c r="N84" s="1220"/>
      <c r="O84" s="122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309"/>
    </row>
    <row r="85" spans="1:33" s="250" customFormat="1" ht="3.75" customHeight="1">
      <c r="A85" s="433"/>
      <c r="B85" s="434"/>
      <c r="C85" s="240"/>
      <c r="D85" s="240"/>
      <c r="E85" s="240"/>
      <c r="F85" s="240"/>
      <c r="G85" s="435"/>
      <c r="H85" s="414"/>
      <c r="I85" s="414"/>
      <c r="J85" s="414"/>
      <c r="K85" s="414"/>
      <c r="L85" s="414"/>
      <c r="M85" s="414"/>
      <c r="N85" s="414"/>
      <c r="O85" s="414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250" customFormat="1" ht="18.75" customHeight="1">
      <c r="A86" s="436" t="s">
        <v>324</v>
      </c>
      <c r="B86" s="437"/>
      <c r="C86" s="240"/>
      <c r="D86" s="240"/>
      <c r="E86" s="438"/>
      <c r="F86" s="1219" t="s">
        <v>325</v>
      </c>
      <c r="G86" s="1219"/>
      <c r="H86" s="1219"/>
      <c r="I86" s="1219"/>
      <c r="J86" s="1219"/>
      <c r="K86" s="1219"/>
      <c r="L86" s="1219"/>
      <c r="M86" s="1219"/>
      <c r="N86" s="1219"/>
      <c r="O86" s="414"/>
      <c r="P86" s="439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</row>
    <row r="87" spans="1:33" s="250" customFormat="1" ht="11.25" customHeight="1">
      <c r="A87" s="440" t="s">
        <v>326</v>
      </c>
      <c r="B87" s="437"/>
      <c r="C87" s="240"/>
      <c r="D87" s="240"/>
      <c r="E87" s="240"/>
      <c r="F87" s="240"/>
      <c r="G87" s="435"/>
      <c r="H87" s="414"/>
      <c r="I87" s="414"/>
      <c r="J87" s="414"/>
      <c r="K87" s="414"/>
      <c r="L87" s="414"/>
      <c r="M87" s="414"/>
      <c r="N87" s="414"/>
      <c r="O87" s="414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</row>
    <row r="88" spans="1:33" s="250" customFormat="1" ht="13.5" customHeight="1">
      <c r="A88" s="1223"/>
      <c r="B88" s="1223"/>
      <c r="C88" s="1223"/>
      <c r="D88" s="1223"/>
      <c r="E88" s="1223"/>
      <c r="F88" s="1219" t="s">
        <v>327</v>
      </c>
      <c r="G88" s="1219"/>
      <c r="H88" s="1219"/>
      <c r="I88" s="1219"/>
      <c r="J88" s="1219"/>
      <c r="K88" s="1219"/>
      <c r="L88" s="1219"/>
      <c r="M88" s="1219"/>
      <c r="N88" s="1219"/>
      <c r="O88" s="414"/>
      <c r="P88" s="439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</row>
    <row r="89" spans="1:33" s="250" customFormat="1" ht="3.75" customHeight="1">
      <c r="A89" s="337"/>
      <c r="B89" s="437"/>
      <c r="C89" s="240"/>
      <c r="D89" s="240"/>
      <c r="E89" s="240"/>
      <c r="F89" s="240"/>
      <c r="G89" s="435"/>
      <c r="H89" s="414"/>
      <c r="I89" s="414"/>
      <c r="J89" s="414"/>
      <c r="K89" s="414"/>
      <c r="L89" s="414"/>
      <c r="M89" s="414"/>
      <c r="N89" s="414"/>
      <c r="O89" s="414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</row>
    <row r="90" spans="1:33" s="250" customFormat="1" ht="13.5" customHeight="1">
      <c r="A90" s="440" t="s">
        <v>328</v>
      </c>
      <c r="B90" s="437"/>
      <c r="C90" s="240"/>
      <c r="D90" s="240"/>
      <c r="E90" s="441"/>
      <c r="F90" s="1219" t="s">
        <v>329</v>
      </c>
      <c r="G90" s="1219"/>
      <c r="H90" s="1219"/>
      <c r="I90" s="1219"/>
      <c r="J90" s="1219"/>
      <c r="K90" s="1219"/>
      <c r="L90" s="1219"/>
      <c r="M90" s="1219"/>
      <c r="N90" s="1219"/>
      <c r="O90" s="414"/>
      <c r="P90" s="439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</row>
    <row r="91" spans="1:33" s="250" customFormat="1" ht="2.25" customHeight="1">
      <c r="A91" s="337"/>
      <c r="B91" s="437"/>
      <c r="C91" s="240"/>
      <c r="D91" s="240"/>
      <c r="E91" s="240"/>
      <c r="F91" s="240"/>
      <c r="G91" s="435"/>
      <c r="H91" s="414"/>
      <c r="I91" s="414"/>
      <c r="J91" s="414"/>
      <c r="K91" s="414"/>
      <c r="L91" s="414"/>
      <c r="M91" s="414"/>
      <c r="N91" s="414"/>
      <c r="O91" s="414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</row>
    <row r="92" spans="1:33" s="250" customFormat="1" ht="13.5" customHeight="1">
      <c r="A92" s="440" t="s">
        <v>330</v>
      </c>
      <c r="B92" s="437"/>
      <c r="C92" s="240"/>
      <c r="D92" s="240"/>
      <c r="E92" s="441"/>
      <c r="F92" s="240"/>
      <c r="G92" s="435"/>
      <c r="H92" s="414"/>
      <c r="I92" s="414"/>
      <c r="J92" s="414"/>
      <c r="K92" s="414"/>
      <c r="L92" s="414"/>
      <c r="M92" s="414"/>
      <c r="N92" s="414"/>
      <c r="O92" s="414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</row>
    <row r="93" spans="1:33" s="250" customFormat="1" ht="3" customHeight="1">
      <c r="A93" s="337"/>
      <c r="B93" s="437"/>
      <c r="C93" s="240"/>
      <c r="D93" s="240"/>
      <c r="E93" s="240"/>
      <c r="F93" s="240"/>
      <c r="G93" s="435"/>
      <c r="H93" s="414"/>
      <c r="I93" s="414"/>
      <c r="J93" s="414"/>
      <c r="K93" s="414"/>
      <c r="L93" s="414"/>
      <c r="M93" s="414"/>
      <c r="N93" s="414"/>
      <c r="O93" s="414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</row>
    <row r="94" spans="1:33" s="250" customFormat="1" ht="12.75" customHeight="1" hidden="1">
      <c r="A94" s="337"/>
      <c r="B94" s="437"/>
      <c r="C94" s="240"/>
      <c r="D94" s="240"/>
      <c r="E94" s="240"/>
      <c r="F94" s="240"/>
      <c r="G94" s="435"/>
      <c r="H94" s="414"/>
      <c r="I94" s="414"/>
      <c r="J94" s="414"/>
      <c r="K94" s="414"/>
      <c r="L94" s="414"/>
      <c r="M94" s="414"/>
      <c r="N94" s="414"/>
      <c r="O94" s="414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</row>
    <row r="95" spans="1:33" s="250" customFormat="1" ht="10.5" customHeight="1" hidden="1">
      <c r="A95" s="337"/>
      <c r="B95" s="437"/>
      <c r="C95" s="240"/>
      <c r="D95" s="240"/>
      <c r="E95" s="240"/>
      <c r="F95" s="240"/>
      <c r="G95" s="435"/>
      <c r="H95" s="414"/>
      <c r="I95" s="414"/>
      <c r="J95" s="414"/>
      <c r="K95" s="414"/>
      <c r="L95" s="414"/>
      <c r="M95" s="414"/>
      <c r="N95" s="414"/>
      <c r="O95" s="414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</row>
    <row r="96" spans="1:6" ht="12" customHeight="1">
      <c r="A96" s="433">
        <f>IF(B96="",0,1)</f>
        <v>0</v>
      </c>
      <c r="B96" s="434">
        <f>IF(AN23=0,"","Egyszerűsített adómegállípításnál ne töltse ki a 2-6. sort!")</f>
      </c>
      <c r="C96" s="433"/>
      <c r="D96" s="433"/>
      <c r="F96" s="434"/>
    </row>
    <row r="97" spans="1:17" ht="12" customHeight="1">
      <c r="A97" s="433">
        <f>IF(B97="",0,1)</f>
        <v>0</v>
      </c>
      <c r="B97" s="434">
        <f>IF(Q97=0,"","Adóalapot, adókedvezményt hibásan állapított meg!")</f>
      </c>
      <c r="C97" s="433"/>
      <c r="D97" s="433"/>
      <c r="F97" s="434"/>
      <c r="Q97" s="336">
        <f>Q37+Q29</f>
        <v>0</v>
      </c>
    </row>
    <row r="98" spans="1:11" ht="15.75">
      <c r="A98" s="433">
        <f>SUM(A84:A97)</f>
        <v>0</v>
      </c>
      <c r="B98" s="433"/>
      <c r="C98" s="442" t="str">
        <f>IF(A98=0,"E L L E N Ő R Z Ö T T","H I B Á S")</f>
        <v>E L L E N Ő R Z Ö T T</v>
      </c>
      <c r="D98" s="433"/>
      <c r="G98" s="443" t="str">
        <f>'1. oldal'!M131</f>
        <v> VAN HIBÁS LAP !</v>
      </c>
      <c r="K98" s="335">
        <f>IF(C98="E L L E N Ő R Z Ö T T",0,1)</f>
        <v>0</v>
      </c>
    </row>
    <row r="99" ht="14.25" customHeight="1" hidden="1"/>
    <row r="100" spans="5:13" ht="15" hidden="1">
      <c r="E100" s="336"/>
      <c r="F100" s="336"/>
      <c r="G100" s="336"/>
      <c r="I100" s="336">
        <f>IF('F.LAP'!K24+'F.LAP'!K25&gt;0,1,0)</f>
        <v>0</v>
      </c>
      <c r="J100" s="336">
        <f>IF(I100=1,"X","")</f>
      </c>
      <c r="K100" s="338">
        <f>J100</f>
      </c>
      <c r="L100" s="336">
        <f>IF(I102=1,1,0)</f>
        <v>0</v>
      </c>
      <c r="M100" s="336">
        <f>IF(K56="X",1,0)</f>
        <v>0</v>
      </c>
    </row>
    <row r="101" spans="5:13" ht="15" hidden="1">
      <c r="E101" s="336"/>
      <c r="F101" s="336"/>
      <c r="G101" s="336"/>
      <c r="I101" s="336">
        <f>IF('F.LAP'!K27+'F.LAP'!K28&gt;0,1,0)</f>
        <v>0</v>
      </c>
      <c r="J101" s="336">
        <f>IF(I101=1,"X","")</f>
      </c>
      <c r="K101" s="338">
        <f>J101</f>
      </c>
      <c r="L101" s="336">
        <f>IF(I102=1,1,0)</f>
        <v>0</v>
      </c>
      <c r="M101" s="336">
        <f>IF(K57="X",1,0)</f>
        <v>0</v>
      </c>
    </row>
    <row r="102" spans="5:13" ht="15" hidden="1">
      <c r="E102" s="336"/>
      <c r="F102" s="336"/>
      <c r="G102" s="336"/>
      <c r="I102" s="336">
        <f>IF(I100+I101=2,1,0)</f>
        <v>0</v>
      </c>
      <c r="J102" s="336">
        <f>IF(I102=1,"X","")</f>
      </c>
      <c r="K102" s="338">
        <f>J102</f>
      </c>
      <c r="M102" s="336">
        <f>IF(K58="X",1,0)</f>
        <v>0</v>
      </c>
    </row>
    <row r="103" spans="5:13" ht="15" hidden="1">
      <c r="E103" s="336"/>
      <c r="F103" s="336"/>
      <c r="G103" s="336"/>
      <c r="I103" s="336">
        <f>IF('F.LAP'!K31+'F.LAP'!K29&gt;0,1,0)</f>
        <v>0</v>
      </c>
      <c r="J103" s="336">
        <f>IF(I103=1,"X","")</f>
      </c>
      <c r="K103" s="338">
        <f>J103</f>
      </c>
      <c r="L103" s="336">
        <f>IF(H105=1,1,0)</f>
        <v>0</v>
      </c>
      <c r="M103" s="336">
        <f>IF(K59="X",1,0)</f>
        <v>0</v>
      </c>
    </row>
    <row r="104" spans="5:13" ht="15" hidden="1">
      <c r="E104" s="336"/>
      <c r="F104" s="336"/>
      <c r="G104" s="336"/>
      <c r="I104" s="336">
        <f>SUM(I100:I102)</f>
        <v>0</v>
      </c>
      <c r="K104" s="338"/>
      <c r="L104" s="338"/>
      <c r="M104" s="336">
        <f>SUM(M100:M102)</f>
        <v>0</v>
      </c>
    </row>
    <row r="105" spans="5:6" ht="15">
      <c r="E105" s="434"/>
      <c r="F105" s="434"/>
    </row>
  </sheetData>
  <sheetProtection password="C1DD" sheet="1" objects="1" scenarios="1"/>
  <mergeCells count="80">
    <mergeCell ref="Z21:AC21"/>
    <mergeCell ref="B25:G25"/>
    <mergeCell ref="AD21:AG21"/>
    <mergeCell ref="B23:G23"/>
    <mergeCell ref="R23:U23"/>
    <mergeCell ref="V23:Y23"/>
    <mergeCell ref="Z23:AC23"/>
    <mergeCell ref="AD23:AG23"/>
    <mergeCell ref="B21:G21"/>
    <mergeCell ref="R21:U21"/>
    <mergeCell ref="V21:Y21"/>
    <mergeCell ref="B14:G14"/>
    <mergeCell ref="A15:G16"/>
    <mergeCell ref="B19:G19"/>
    <mergeCell ref="B20:G20"/>
    <mergeCell ref="H15:H16"/>
    <mergeCell ref="I15:O16"/>
    <mergeCell ref="B17:G17"/>
    <mergeCell ref="B18:G18"/>
    <mergeCell ref="B24:G24"/>
    <mergeCell ref="AD22:AG22"/>
    <mergeCell ref="B22:G22"/>
    <mergeCell ref="R22:U22"/>
    <mergeCell ref="V22:Y22"/>
    <mergeCell ref="Z22:AC22"/>
    <mergeCell ref="B28:G28"/>
    <mergeCell ref="B29:G29"/>
    <mergeCell ref="B26:G26"/>
    <mergeCell ref="B27:G27"/>
    <mergeCell ref="AD31:AG31"/>
    <mergeCell ref="R28:U28"/>
    <mergeCell ref="V28:Y28"/>
    <mergeCell ref="Z28:AC28"/>
    <mergeCell ref="AD28:AG28"/>
    <mergeCell ref="AD30:AG30"/>
    <mergeCell ref="AD29:AG29"/>
    <mergeCell ref="E31:G31"/>
    <mergeCell ref="E33:G33"/>
    <mergeCell ref="E34:G34"/>
    <mergeCell ref="B35:G35"/>
    <mergeCell ref="F90:N90"/>
    <mergeCell ref="G84:O84"/>
    <mergeCell ref="F86:N86"/>
    <mergeCell ref="E58:G58"/>
    <mergeCell ref="B61:G61"/>
    <mergeCell ref="A63:D63"/>
    <mergeCell ref="A67:D67"/>
    <mergeCell ref="A88:E88"/>
    <mergeCell ref="F88:N88"/>
    <mergeCell ref="A70:D70"/>
    <mergeCell ref="F36:G36"/>
    <mergeCell ref="AJ70:AL70"/>
    <mergeCell ref="A78:N78"/>
    <mergeCell ref="I50:O50"/>
    <mergeCell ref="E52:G52"/>
    <mergeCell ref="E56:G56"/>
    <mergeCell ref="B50:G50"/>
    <mergeCell ref="B51:G51"/>
    <mergeCell ref="A71:O71"/>
    <mergeCell ref="B36:E36"/>
    <mergeCell ref="AJ27:AR28"/>
    <mergeCell ref="AO67:AQ67"/>
    <mergeCell ref="A69:O69"/>
    <mergeCell ref="E47:G47"/>
    <mergeCell ref="B37:G37"/>
    <mergeCell ref="E30:G30"/>
    <mergeCell ref="E32:G32"/>
    <mergeCell ref="B46:G46"/>
    <mergeCell ref="B45:G45"/>
    <mergeCell ref="E38:G38"/>
    <mergeCell ref="G83:O83"/>
    <mergeCell ref="E39:G39"/>
    <mergeCell ref="E40:G40"/>
    <mergeCell ref="E41:G41"/>
    <mergeCell ref="B42:G42"/>
    <mergeCell ref="B43:G43"/>
    <mergeCell ref="E48:G48"/>
    <mergeCell ref="B44:G44"/>
    <mergeCell ref="B81:D81"/>
    <mergeCell ref="E57:G57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250" hidden="1" customWidth="1"/>
  </cols>
  <sheetData>
    <row r="1" spans="1:2" ht="15" hidden="1">
      <c r="A1" s="250" t="s">
        <v>262</v>
      </c>
      <c r="B1" s="250" t="s">
        <v>331</v>
      </c>
    </row>
    <row r="2" ht="15" hidden="1">
      <c r="B2" s="250" t="s">
        <v>332</v>
      </c>
    </row>
    <row r="3" spans="2:16" ht="15" hidden="1">
      <c r="B3" s="1252" t="s">
        <v>333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</row>
    <row r="4" spans="2:32" ht="15" hidden="1">
      <c r="B4" s="444" t="s">
        <v>334</v>
      </c>
      <c r="C4" s="1264">
        <f>IF(C32="","",C32)</f>
        <v>88</v>
      </c>
      <c r="D4" s="1264"/>
      <c r="E4" s="445" t="s">
        <v>53</v>
      </c>
      <c r="AF4" s="250">
        <f>IF(OR(C4&lt;0,C4=""),0,1)</f>
        <v>1</v>
      </c>
    </row>
    <row r="5" spans="2:32" ht="15" hidden="1">
      <c r="B5" s="444" t="s">
        <v>52</v>
      </c>
      <c r="C5" s="1264">
        <f>IF(C33="","",C33)</f>
        <v>88</v>
      </c>
      <c r="D5" s="1264"/>
      <c r="E5" s="445" t="s">
        <v>53</v>
      </c>
      <c r="AF5" s="250">
        <f>IF(OR(C5&lt;0,C5=""),0,1)</f>
        <v>1</v>
      </c>
    </row>
    <row r="6" ht="15" hidden="1">
      <c r="AF6" s="250">
        <f>SUM(AF4:AF5)</f>
        <v>2</v>
      </c>
    </row>
    <row r="7" ht="15">
      <c r="B7" s="445"/>
    </row>
    <row r="8" spans="1:30" ht="15">
      <c r="A8" s="446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20"/>
    </row>
    <row r="9" spans="1:29" ht="15">
      <c r="A9" s="323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 ht="15">
      <c r="A10" s="323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447" t="s">
        <v>335</v>
      </c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</row>
    <row r="11" spans="1:30" ht="15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8"/>
    </row>
    <row r="13" spans="1:30" ht="15">
      <c r="A13" s="448" t="s">
        <v>241</v>
      </c>
      <c r="B13" s="1265" t="s">
        <v>336</v>
      </c>
      <c r="C13" s="1265"/>
      <c r="D13" s="1265"/>
      <c r="E13" s="1265"/>
      <c r="F13" s="1265"/>
      <c r="G13" s="1265"/>
      <c r="H13" s="1265"/>
      <c r="I13" s="1265"/>
      <c r="J13" s="1265"/>
      <c r="K13" s="1265"/>
      <c r="L13" s="1265"/>
      <c r="M13" s="1265"/>
      <c r="N13" s="1265"/>
      <c r="O13" s="1265"/>
      <c r="P13" s="1265"/>
      <c r="Q13" s="1265"/>
      <c r="R13" s="1265"/>
      <c r="S13" s="1265"/>
      <c r="T13" s="1265"/>
      <c r="U13" s="1265"/>
      <c r="V13" s="1265"/>
      <c r="W13" s="1265"/>
      <c r="X13" s="1265"/>
      <c r="Y13" s="1265"/>
      <c r="Z13" s="1265"/>
      <c r="AA13" s="1265"/>
      <c r="AB13" s="1265"/>
      <c r="AC13" s="1265"/>
      <c r="AD13" s="1265"/>
    </row>
    <row r="14" spans="1:32" ht="15.75">
      <c r="A14" s="449"/>
      <c r="B14" s="1258" t="s">
        <v>337</v>
      </c>
      <c r="C14" s="1258"/>
      <c r="D14" s="1258"/>
      <c r="E14" s="1258"/>
      <c r="F14" s="1258"/>
      <c r="G14" s="1258"/>
      <c r="H14" s="1258"/>
      <c r="I14" s="1258"/>
      <c r="J14" s="1258"/>
      <c r="K14" s="1258"/>
      <c r="L14" s="1258"/>
      <c r="M14" s="1258"/>
      <c r="N14" s="1258"/>
      <c r="O14" s="1258"/>
      <c r="P14" s="1258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450"/>
      <c r="AF14" s="250">
        <f>IF(AD14="X",1,0)</f>
        <v>0</v>
      </c>
    </row>
    <row r="15" spans="1:30" ht="15">
      <c r="A15" s="449"/>
      <c r="B15" s="1263" t="s">
        <v>338</v>
      </c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</row>
    <row r="16" spans="1:30" ht="15">
      <c r="A16" s="449"/>
      <c r="B16" s="229"/>
      <c r="C16" s="229"/>
      <c r="D16" s="229"/>
      <c r="E16" s="229"/>
      <c r="F16" s="229"/>
      <c r="G16" s="229"/>
      <c r="H16" s="229"/>
      <c r="I16" s="229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52"/>
    </row>
    <row r="17" spans="1:32" ht="15">
      <c r="A17" s="449" t="s">
        <v>243</v>
      </c>
      <c r="B17" s="1258" t="s">
        <v>339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453"/>
      <c r="AF17" s="250">
        <f>IF(AD17="X",1,0)</f>
        <v>0</v>
      </c>
    </row>
    <row r="18" spans="1:30" ht="19.5" customHeight="1">
      <c r="A18" s="449"/>
      <c r="B18" s="1259"/>
      <c r="C18" s="1259"/>
      <c r="D18" s="1259"/>
      <c r="E18" s="1259"/>
      <c r="F18" s="1259"/>
      <c r="G18" s="1259"/>
      <c r="H18" s="1259"/>
      <c r="I18" s="1259"/>
      <c r="J18" s="1259"/>
      <c r="K18" s="1259"/>
      <c r="L18" s="1259"/>
      <c r="M18" s="1259"/>
      <c r="N18" s="1259"/>
      <c r="O18" s="1259"/>
      <c r="P18" s="1259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454"/>
    </row>
    <row r="19" spans="1:30" ht="18" customHeight="1">
      <c r="A19" s="449" t="s">
        <v>245</v>
      </c>
      <c r="B19" s="1260" t="s">
        <v>340</v>
      </c>
      <c r="C19" s="1260"/>
      <c r="D19" s="1260"/>
      <c r="E19" s="1260"/>
      <c r="F19" s="1260"/>
      <c r="G19" s="1260"/>
      <c r="H19" s="1260"/>
      <c r="I19" s="1260"/>
      <c r="J19" s="1260"/>
      <c r="K19" s="1260"/>
      <c r="L19" s="1260"/>
      <c r="M19" s="1260"/>
      <c r="N19" s="1260"/>
      <c r="O19" s="1260"/>
      <c r="P19" s="126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456"/>
    </row>
    <row r="20" spans="1:30" ht="15.75">
      <c r="A20" s="449"/>
      <c r="B20" s="1260" t="s">
        <v>341</v>
      </c>
      <c r="C20" s="1260"/>
      <c r="D20" s="1260"/>
      <c r="E20" s="1260"/>
      <c r="F20" s="1260"/>
      <c r="G20" s="1260"/>
      <c r="H20" s="1260"/>
      <c r="I20" s="457"/>
      <c r="J20" s="457"/>
      <c r="K20" s="457"/>
      <c r="L20" s="457"/>
      <c r="M20" s="457"/>
      <c r="N20" s="457"/>
      <c r="O20" s="457"/>
      <c r="P20" s="457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456"/>
    </row>
    <row r="21" spans="1:30" ht="15">
      <c r="A21" s="449"/>
      <c r="B21" s="455"/>
      <c r="C21" s="455"/>
      <c r="D21" s="455"/>
      <c r="E21" s="455"/>
      <c r="F21" s="455"/>
      <c r="G21" s="455"/>
      <c r="H21" s="1261"/>
      <c r="I21" s="1261"/>
      <c r="J21" s="1261"/>
      <c r="K21" s="1261"/>
      <c r="L21" s="1261"/>
      <c r="M21" s="1261"/>
      <c r="N21" s="1261"/>
      <c r="O21" s="1261"/>
      <c r="P21" s="1261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458" t="s">
        <v>106</v>
      </c>
    </row>
    <row r="22" spans="1:30" ht="15">
      <c r="A22" s="449"/>
      <c r="B22" s="455"/>
      <c r="C22" s="455"/>
      <c r="D22" s="455"/>
      <c r="E22" s="455"/>
      <c r="F22" s="455"/>
      <c r="G22" s="455"/>
      <c r="H22" s="459"/>
      <c r="I22" s="459"/>
      <c r="J22" s="459"/>
      <c r="K22" s="459"/>
      <c r="L22" s="459"/>
      <c r="M22" s="459"/>
      <c r="N22" s="459"/>
      <c r="O22" s="459"/>
      <c r="P22" s="459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458"/>
    </row>
    <row r="23" spans="1:32" ht="15.75">
      <c r="A23" s="449" t="s">
        <v>247</v>
      </c>
      <c r="B23" s="1258" t="s">
        <v>342</v>
      </c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450"/>
      <c r="AF23" s="250">
        <f>IF(AD23="X",1,0)</f>
        <v>0</v>
      </c>
    </row>
    <row r="24" spans="1:32" ht="15">
      <c r="A24" s="310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8"/>
      <c r="AF24" s="250">
        <f>SUM(AF17:AF23)</f>
        <v>0</v>
      </c>
    </row>
    <row r="25" ht="15" hidden="1">
      <c r="B25" s="445" t="s">
        <v>343</v>
      </c>
    </row>
    <row r="26" spans="2:30" ht="15" hidden="1">
      <c r="B26" s="250" t="s">
        <v>344</v>
      </c>
      <c r="P26" s="1262"/>
      <c r="Q26" s="1262"/>
      <c r="R26" s="1262"/>
      <c r="S26" s="1262"/>
      <c r="T26" s="1262"/>
      <c r="U26" s="1262"/>
      <c r="V26" s="1262"/>
      <c r="W26" s="1262"/>
      <c r="X26" s="1262"/>
      <c r="Y26" s="1262"/>
      <c r="Z26" s="1262"/>
      <c r="AA26" s="1262"/>
      <c r="AB26" s="1262"/>
      <c r="AC26" s="1262"/>
      <c r="AD26" s="1262"/>
    </row>
    <row r="27" spans="8:30" ht="15" hidden="1">
      <c r="H27" s="1261"/>
      <c r="I27" s="1261"/>
      <c r="J27" s="1261"/>
      <c r="K27" s="1261"/>
      <c r="L27" s="1261"/>
      <c r="M27" s="1261"/>
      <c r="N27" s="1261"/>
      <c r="O27" s="1261"/>
      <c r="P27" s="1261"/>
      <c r="AD27" s="445" t="s">
        <v>106</v>
      </c>
    </row>
    <row r="28" ht="15" hidden="1"/>
    <row r="29" spans="1:30" ht="15.75" hidden="1">
      <c r="A29" s="301" t="str">
        <f aca="true" t="shared" si="0" ref="A29:B33">IF(A1="","",A1)</f>
        <v>11.</v>
      </c>
      <c r="B29" s="1252" t="str">
        <f t="shared" si="0"/>
        <v>2004 valamint 2005 évben a Központi Statisztikai Hivatal "útmutató az intézményi </v>
      </c>
      <c r="C29" s="1252"/>
      <c r="D29" s="1252"/>
      <c r="E29" s="1252"/>
      <c r="F29" s="1252"/>
      <c r="G29" s="1252"/>
      <c r="H29" s="1252"/>
      <c r="I29" s="1252"/>
      <c r="J29" s="1252"/>
      <c r="K29" s="1252"/>
      <c r="L29" s="1252"/>
      <c r="M29" s="1252"/>
      <c r="N29" s="1252"/>
      <c r="O29" s="1252"/>
      <c r="P29" s="1252"/>
      <c r="Q29" s="1252"/>
      <c r="R29" s="1252"/>
      <c r="S29" s="1252"/>
      <c r="T29" s="1252"/>
      <c r="U29" s="1252"/>
      <c r="V29" s="1252"/>
      <c r="W29" s="1252"/>
      <c r="X29" s="1252"/>
      <c r="Y29" s="1252"/>
      <c r="Z29" s="1252"/>
      <c r="AA29" s="1252"/>
      <c r="AB29" s="1252"/>
      <c r="AC29" s="1252"/>
      <c r="AD29" s="1252"/>
    </row>
    <row r="30" spans="1:30" ht="15" hidden="1">
      <c r="A30" s="250">
        <f t="shared" si="0"/>
      </c>
      <c r="B30" s="1252" t="str">
        <f t="shared" si="0"/>
        <v>munkaügy-statisztikai kérdőívek kitöltéséhez" c. kiadvány 1999.01.01-én érvényes szabályai</v>
      </c>
      <c r="C30" s="1252">
        <f aca="true" t="shared" si="1" ref="C30:P30">IF(C2="","",C2)</f>
      </c>
      <c r="D30" s="1252">
        <f t="shared" si="1"/>
      </c>
      <c r="E30" s="1252">
        <f t="shared" si="1"/>
      </c>
      <c r="F30" s="1252">
        <f t="shared" si="1"/>
      </c>
      <c r="G30" s="1252">
        <f t="shared" si="1"/>
      </c>
      <c r="H30" s="1252">
        <f t="shared" si="1"/>
      </c>
      <c r="I30" s="1252">
        <f t="shared" si="1"/>
      </c>
      <c r="J30" s="1252">
        <f t="shared" si="1"/>
      </c>
      <c r="K30" s="1252">
        <f t="shared" si="1"/>
      </c>
      <c r="L30" s="1252">
        <f t="shared" si="1"/>
      </c>
      <c r="M30" s="1252">
        <f t="shared" si="1"/>
      </c>
      <c r="N30" s="1252">
        <f t="shared" si="1"/>
      </c>
      <c r="O30" s="1252">
        <f t="shared" si="1"/>
      </c>
      <c r="P30" s="1252">
        <f t="shared" si="1"/>
      </c>
      <c r="Q30" s="1252">
        <f aca="true" t="shared" si="2" ref="Q30:AD30">IF(Q2="","",Q2)</f>
      </c>
      <c r="R30" s="1252">
        <f t="shared" si="2"/>
      </c>
      <c r="S30" s="1252">
        <f t="shared" si="2"/>
      </c>
      <c r="T30" s="1252">
        <f t="shared" si="2"/>
      </c>
      <c r="U30" s="1252">
        <f t="shared" si="2"/>
      </c>
      <c r="V30" s="1252">
        <f t="shared" si="2"/>
      </c>
      <c r="W30" s="1252">
        <f t="shared" si="2"/>
      </c>
      <c r="X30" s="1252">
        <f t="shared" si="2"/>
      </c>
      <c r="Y30" s="1252">
        <f t="shared" si="2"/>
      </c>
      <c r="Z30" s="1252">
        <f t="shared" si="2"/>
      </c>
      <c r="AA30" s="1252">
        <f t="shared" si="2"/>
      </c>
      <c r="AB30" s="1252">
        <f t="shared" si="2"/>
      </c>
      <c r="AC30" s="1252">
        <f t="shared" si="2"/>
      </c>
      <c r="AD30" s="1252">
        <f t="shared" si="2"/>
      </c>
    </row>
    <row r="31" spans="1:30" ht="15" hidden="1">
      <c r="A31" s="250">
        <f t="shared" si="0"/>
      </c>
      <c r="B31" s="1252" t="str">
        <f t="shared" si="0"/>
        <v>alapján kiszámított átlagos statisztikai állományi létszám (Kötelező):</v>
      </c>
      <c r="C31" s="1252">
        <f aca="true" t="shared" si="3" ref="C31:P31">IF(C3="","",C3)</f>
      </c>
      <c r="D31" s="1252">
        <f t="shared" si="3"/>
      </c>
      <c r="E31" s="1252">
        <f t="shared" si="3"/>
      </c>
      <c r="F31" s="1252">
        <f t="shared" si="3"/>
      </c>
      <c r="G31" s="1252">
        <f t="shared" si="3"/>
      </c>
      <c r="H31" s="1252">
        <f t="shared" si="3"/>
      </c>
      <c r="I31" s="1252">
        <f t="shared" si="3"/>
      </c>
      <c r="J31" s="1252">
        <f t="shared" si="3"/>
      </c>
      <c r="K31" s="1252">
        <f t="shared" si="3"/>
      </c>
      <c r="L31" s="1252">
        <f t="shared" si="3"/>
      </c>
      <c r="M31" s="1252">
        <f t="shared" si="3"/>
      </c>
      <c r="N31" s="1252">
        <f t="shared" si="3"/>
      </c>
      <c r="O31" s="1252">
        <f t="shared" si="3"/>
      </c>
      <c r="P31" s="1252">
        <f t="shared" si="3"/>
      </c>
      <c r="Q31" s="1252">
        <f aca="true" t="shared" si="4" ref="Q31:AD31">IF(Q3="","",Q3)</f>
      </c>
      <c r="R31" s="1252">
        <f t="shared" si="4"/>
      </c>
      <c r="S31" s="1252">
        <f t="shared" si="4"/>
      </c>
      <c r="T31" s="1252">
        <f t="shared" si="4"/>
      </c>
      <c r="U31" s="1252">
        <f t="shared" si="4"/>
      </c>
      <c r="V31" s="1252">
        <f t="shared" si="4"/>
      </c>
      <c r="W31" s="1252">
        <f t="shared" si="4"/>
      </c>
      <c r="X31" s="1252">
        <f t="shared" si="4"/>
      </c>
      <c r="Y31" s="1252">
        <f t="shared" si="4"/>
      </c>
      <c r="Z31" s="1252">
        <f t="shared" si="4"/>
      </c>
      <c r="AA31" s="1252">
        <f t="shared" si="4"/>
      </c>
      <c r="AB31" s="1252">
        <f t="shared" si="4"/>
      </c>
      <c r="AC31" s="1252">
        <f t="shared" si="4"/>
      </c>
      <c r="AD31" s="1252">
        <f t="shared" si="4"/>
      </c>
    </row>
    <row r="32" spans="1:30" ht="15.75" hidden="1">
      <c r="A32" s="250">
        <f t="shared" si="0"/>
      </c>
      <c r="B32" s="460" t="str">
        <f t="shared" si="0"/>
        <v>2004. évben:</v>
      </c>
      <c r="C32" s="1250">
        <f>IF(alapadatok!I161="","",alapadatok!I161)</f>
        <v>88</v>
      </c>
      <c r="D32" s="1250"/>
      <c r="E32" s="445" t="str">
        <f aca="true" t="shared" si="5" ref="E32:P32">IF(E4="","",E4)</f>
        <v>fő</v>
      </c>
      <c r="F32" s="250">
        <f t="shared" si="5"/>
      </c>
      <c r="G32" s="250">
        <f t="shared" si="5"/>
      </c>
      <c r="H32" s="250">
        <f t="shared" si="5"/>
      </c>
      <c r="I32" s="250">
        <f t="shared" si="5"/>
      </c>
      <c r="J32" s="250">
        <f t="shared" si="5"/>
      </c>
      <c r="K32" s="250">
        <f t="shared" si="5"/>
      </c>
      <c r="L32" s="250">
        <f t="shared" si="5"/>
      </c>
      <c r="M32" s="250">
        <f t="shared" si="5"/>
      </c>
      <c r="N32" s="250">
        <f t="shared" si="5"/>
      </c>
      <c r="O32" s="250">
        <f t="shared" si="5"/>
      </c>
      <c r="P32" s="250">
        <f t="shared" si="5"/>
      </c>
      <c r="Q32" s="250">
        <f aca="true" t="shared" si="6" ref="Q32:AD32">IF(Q4="","",Q4)</f>
      </c>
      <c r="R32" s="250">
        <f t="shared" si="6"/>
      </c>
      <c r="S32" s="250">
        <f t="shared" si="6"/>
      </c>
      <c r="T32" s="250">
        <f t="shared" si="6"/>
      </c>
      <c r="U32" s="250">
        <f t="shared" si="6"/>
      </c>
      <c r="V32" s="250">
        <f t="shared" si="6"/>
      </c>
      <c r="W32" s="250">
        <f t="shared" si="6"/>
      </c>
      <c r="X32" s="250">
        <f t="shared" si="6"/>
      </c>
      <c r="Y32" s="250">
        <f t="shared" si="6"/>
      </c>
      <c r="Z32" s="250">
        <f t="shared" si="6"/>
      </c>
      <c r="AA32" s="250">
        <f t="shared" si="6"/>
      </c>
      <c r="AB32" s="250">
        <f t="shared" si="6"/>
      </c>
      <c r="AC32" s="250">
        <f t="shared" si="6"/>
      </c>
      <c r="AD32" s="250">
        <f t="shared" si="6"/>
      </c>
    </row>
    <row r="33" spans="1:30" ht="15.75" hidden="1">
      <c r="A33" s="250">
        <f t="shared" si="0"/>
      </c>
      <c r="B33" s="460" t="str">
        <f t="shared" si="0"/>
        <v>2005. évben:</v>
      </c>
      <c r="C33" s="1250">
        <f>IF(alapadatok!I162="","",alapadatok!I162)</f>
        <v>88</v>
      </c>
      <c r="D33" s="1250"/>
      <c r="E33" s="445" t="str">
        <f aca="true" t="shared" si="7" ref="E33:P33">IF(E5="","",E5)</f>
        <v>fő</v>
      </c>
      <c r="F33" s="250">
        <f t="shared" si="7"/>
      </c>
      <c r="G33" s="250">
        <f t="shared" si="7"/>
      </c>
      <c r="H33" s="250">
        <f t="shared" si="7"/>
      </c>
      <c r="I33" s="250">
        <f t="shared" si="7"/>
      </c>
      <c r="J33" s="250">
        <f t="shared" si="7"/>
      </c>
      <c r="K33" s="250">
        <f t="shared" si="7"/>
      </c>
      <c r="L33" s="250">
        <f t="shared" si="7"/>
      </c>
      <c r="M33" s="250">
        <f t="shared" si="7"/>
      </c>
      <c r="N33" s="250">
        <f t="shared" si="7"/>
      </c>
      <c r="O33" s="250">
        <f t="shared" si="7"/>
      </c>
      <c r="P33" s="250">
        <f t="shared" si="7"/>
      </c>
      <c r="Q33" s="250">
        <f aca="true" t="shared" si="8" ref="Q33:AD33">IF(Q5="","",Q5)</f>
      </c>
      <c r="R33" s="250">
        <f t="shared" si="8"/>
      </c>
      <c r="S33" s="250">
        <f t="shared" si="8"/>
      </c>
      <c r="T33" s="250">
        <f t="shared" si="8"/>
      </c>
      <c r="U33" s="250">
        <f t="shared" si="8"/>
      </c>
      <c r="V33" s="250">
        <f t="shared" si="8"/>
      </c>
      <c r="W33" s="250">
        <f t="shared" si="8"/>
      </c>
      <c r="X33" s="250">
        <f t="shared" si="8"/>
      </c>
      <c r="Y33" s="250">
        <f t="shared" si="8"/>
      </c>
      <c r="Z33" s="250">
        <f t="shared" si="8"/>
      </c>
      <c r="AA33" s="250">
        <f t="shared" si="8"/>
      </c>
      <c r="AB33" s="250">
        <f t="shared" si="8"/>
      </c>
      <c r="AC33" s="250">
        <f t="shared" si="8"/>
      </c>
      <c r="AD33" s="250">
        <f t="shared" si="8"/>
      </c>
    </row>
    <row r="34" spans="1:30" ht="15" hidden="1">
      <c r="A34" s="250">
        <f aca="true" t="shared" si="9" ref="A34:P34">IF(A6="","",A6)</f>
      </c>
      <c r="B34" s="250">
        <f t="shared" si="9"/>
      </c>
      <c r="C34" s="250">
        <f t="shared" si="9"/>
      </c>
      <c r="D34" s="250">
        <f t="shared" si="9"/>
      </c>
      <c r="E34" s="250">
        <f t="shared" si="9"/>
      </c>
      <c r="F34" s="250">
        <f t="shared" si="9"/>
      </c>
      <c r="G34" s="250">
        <f t="shared" si="9"/>
      </c>
      <c r="H34" s="250">
        <f t="shared" si="9"/>
      </c>
      <c r="I34" s="250">
        <f t="shared" si="9"/>
      </c>
      <c r="J34" s="250">
        <f t="shared" si="9"/>
      </c>
      <c r="K34" s="250">
        <f t="shared" si="9"/>
      </c>
      <c r="L34" s="250">
        <f t="shared" si="9"/>
      </c>
      <c r="M34" s="250">
        <f t="shared" si="9"/>
      </c>
      <c r="N34" s="250">
        <f t="shared" si="9"/>
      </c>
      <c r="O34" s="250">
        <f t="shared" si="9"/>
      </c>
      <c r="P34" s="250">
        <f t="shared" si="9"/>
      </c>
      <c r="Q34" s="250">
        <f aca="true" t="shared" si="10" ref="Q34:AD34">IF(Q6="","",Q6)</f>
      </c>
      <c r="R34" s="250">
        <f t="shared" si="10"/>
      </c>
      <c r="S34" s="250">
        <f t="shared" si="10"/>
      </c>
      <c r="T34" s="250">
        <f t="shared" si="10"/>
      </c>
      <c r="U34" s="250">
        <f t="shared" si="10"/>
      </c>
      <c r="V34" s="250">
        <f t="shared" si="10"/>
      </c>
      <c r="W34" s="250">
        <f t="shared" si="10"/>
      </c>
      <c r="X34" s="250">
        <f t="shared" si="10"/>
      </c>
      <c r="Y34" s="250">
        <f t="shared" si="10"/>
      </c>
      <c r="Z34" s="250">
        <f t="shared" si="10"/>
      </c>
      <c r="AA34" s="250">
        <f t="shared" si="10"/>
      </c>
      <c r="AB34" s="250">
        <f t="shared" si="10"/>
      </c>
      <c r="AC34" s="250">
        <f t="shared" si="10"/>
      </c>
      <c r="AD34" s="250">
        <f t="shared" si="10"/>
      </c>
    </row>
    <row r="35" ht="15" hidden="1"/>
    <row r="36" spans="2:30" ht="12.75" customHeight="1" hidden="1">
      <c r="B36" s="1251"/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1"/>
      <c r="AA36" s="1251"/>
      <c r="AB36" s="1251"/>
      <c r="AC36" s="1251"/>
      <c r="AD36" s="1251"/>
    </row>
    <row r="37" spans="1:30" ht="15">
      <c r="A37" s="446"/>
      <c r="B37" s="1254"/>
      <c r="C37" s="1254"/>
      <c r="D37" s="1254"/>
      <c r="E37" s="1254"/>
      <c r="F37" s="1254"/>
      <c r="G37" s="1254"/>
      <c r="H37" s="1254"/>
      <c r="I37" s="1254"/>
      <c r="J37" s="1254"/>
      <c r="K37" s="1254"/>
      <c r="L37" s="1254"/>
      <c r="M37" s="1254"/>
      <c r="N37" s="1254"/>
      <c r="O37" s="1254"/>
      <c r="P37" s="1254"/>
      <c r="Q37" s="1254"/>
      <c r="R37" s="1254"/>
      <c r="S37" s="1254"/>
      <c r="T37" s="1254"/>
      <c r="U37" s="1254"/>
      <c r="V37" s="1254"/>
      <c r="W37" s="1254"/>
      <c r="X37" s="1254"/>
      <c r="Y37" s="1254"/>
      <c r="Z37" s="1254"/>
      <c r="AA37" s="1254"/>
      <c r="AB37" s="1254"/>
      <c r="AC37" s="1254"/>
      <c r="AD37" s="1254"/>
    </row>
    <row r="38" spans="1:30" ht="15">
      <c r="A38" s="323"/>
      <c r="B38" s="1255" t="s">
        <v>345</v>
      </c>
      <c r="C38" s="1255"/>
      <c r="D38" s="1255"/>
      <c r="E38" s="1255"/>
      <c r="F38" s="1255"/>
      <c r="G38" s="1255"/>
      <c r="H38" s="1255"/>
      <c r="I38" s="1255"/>
      <c r="J38" s="1255"/>
      <c r="K38" s="1255"/>
      <c r="L38" s="1255"/>
      <c r="M38" s="1255"/>
      <c r="N38" s="1255"/>
      <c r="O38" s="1255"/>
      <c r="P38" s="1255"/>
      <c r="Q38" s="1255"/>
      <c r="R38" s="1255"/>
      <c r="S38" s="1255"/>
      <c r="T38" s="1255"/>
      <c r="U38" s="1255"/>
      <c r="V38" s="1255"/>
      <c r="W38" s="1255"/>
      <c r="X38" s="1255"/>
      <c r="Y38" s="1255"/>
      <c r="Z38" s="1255"/>
      <c r="AA38" s="1255"/>
      <c r="AB38" s="1255"/>
      <c r="AC38" s="1255"/>
      <c r="AD38" s="1255"/>
    </row>
    <row r="39" spans="1:30" ht="15">
      <c r="A39" s="323"/>
      <c r="B39" s="240" t="s">
        <v>346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309"/>
    </row>
    <row r="40" spans="1:30" ht="15">
      <c r="A40" s="323"/>
      <c r="B40" s="240" t="s">
        <v>347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309"/>
    </row>
    <row r="47" spans="1:30" ht="15">
      <c r="A47" s="310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8"/>
    </row>
    <row r="48" ht="15">
      <c r="B48" s="461" t="s">
        <v>348</v>
      </c>
    </row>
    <row r="49" ht="15">
      <c r="B49" s="461"/>
    </row>
    <row r="50" spans="1:30" ht="15">
      <c r="A50" s="446"/>
      <c r="B50" s="319" t="s">
        <v>349</v>
      </c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20"/>
    </row>
    <row r="51" spans="1:30" ht="15">
      <c r="A51" s="323"/>
      <c r="B51" s="240" t="s">
        <v>350</v>
      </c>
      <c r="C51" s="240"/>
      <c r="D51" s="1256"/>
      <c r="E51" s="1256"/>
      <c r="F51" s="1256"/>
      <c r="G51" s="1256"/>
      <c r="H51" s="1256"/>
      <c r="I51" s="1256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309"/>
    </row>
    <row r="52" spans="1:30" ht="15">
      <c r="A52" s="323"/>
      <c r="B52" s="240" t="s">
        <v>351</v>
      </c>
      <c r="C52" s="240"/>
      <c r="D52" s="240"/>
      <c r="E52" s="1257"/>
      <c r="F52" s="1257"/>
      <c r="G52" s="1257"/>
      <c r="H52" s="1257"/>
      <c r="I52" s="1257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309"/>
    </row>
    <row r="53" spans="1:30" ht="15">
      <c r="A53" s="323"/>
      <c r="B53" s="240" t="s">
        <v>352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451"/>
    </row>
    <row r="54" spans="1:30" ht="15">
      <c r="A54" s="323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462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451"/>
    </row>
    <row r="55" spans="1:30" ht="15">
      <c r="A55" s="323"/>
      <c r="B55" s="240" t="s">
        <v>353</v>
      </c>
      <c r="C55" s="463"/>
      <c r="D55" s="258" t="s">
        <v>134</v>
      </c>
      <c r="E55" s="463"/>
      <c r="F55" s="258" t="s">
        <v>135</v>
      </c>
      <c r="G55" s="463"/>
      <c r="H55" s="240" t="s">
        <v>210</v>
      </c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309"/>
    </row>
    <row r="56" spans="1:30" ht="15">
      <c r="A56" s="323"/>
      <c r="B56" s="240"/>
      <c r="C56" s="240"/>
      <c r="D56" s="240"/>
      <c r="E56" s="240" t="s">
        <v>354</v>
      </c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309"/>
    </row>
    <row r="57" spans="1:30" ht="15">
      <c r="A57" s="323"/>
      <c r="B57" s="240"/>
      <c r="C57" s="240"/>
      <c r="D57" s="240"/>
      <c r="E57" s="240"/>
      <c r="F57" s="240"/>
      <c r="G57" s="1253"/>
      <c r="H57" s="1253"/>
      <c r="I57" s="1253"/>
      <c r="J57" s="1253"/>
      <c r="K57" s="1253"/>
      <c r="L57" s="1253"/>
      <c r="M57" s="1253"/>
      <c r="N57" s="1253"/>
      <c r="O57" s="1253"/>
      <c r="P57" s="1253"/>
      <c r="Q57" s="1253"/>
      <c r="R57" s="1253"/>
      <c r="S57" s="1253"/>
      <c r="T57" s="1253"/>
      <c r="U57" s="1253"/>
      <c r="V57" s="1253"/>
      <c r="W57" s="1253"/>
      <c r="X57" s="1253"/>
      <c r="Y57" s="1253"/>
      <c r="Z57" s="1253"/>
      <c r="AA57" s="1253"/>
      <c r="AB57" s="1253"/>
      <c r="AC57" s="1253"/>
      <c r="AD57" s="1253"/>
    </row>
    <row r="58" spans="1:30" ht="15">
      <c r="A58" s="323"/>
      <c r="B58" s="240"/>
      <c r="C58" s="240"/>
      <c r="D58" s="240"/>
      <c r="E58" s="240"/>
      <c r="F58" s="240"/>
      <c r="G58" s="240" t="s">
        <v>355</v>
      </c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309"/>
    </row>
    <row r="59" spans="1:30" ht="15">
      <c r="A59" s="323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309"/>
    </row>
    <row r="60" spans="1:30" ht="15">
      <c r="A60" s="323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309"/>
    </row>
    <row r="61" spans="1:30" ht="15">
      <c r="A61" s="464">
        <f aca="true" t="shared" si="11" ref="A61:A67">IF(B61="",0,1)</f>
        <v>0</v>
      </c>
      <c r="B61" s="285">
        <f>IF('2. oldal'!A98=0,"","  Hibás az előző oldal!")</f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309"/>
    </row>
    <row r="62" spans="1:30" ht="15">
      <c r="A62" s="331">
        <f t="shared" si="11"/>
        <v>0</v>
      </c>
      <c r="B62" s="332">
        <f>IF(AND((AF24&gt;0),(NOT(OR((AF14=1),('1. oldal'!O63="X"))))),"  Hiba: Ha túlfizetését akár részben is visszakéri, nyilatkoznia kell tartozásairól!","")</f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8"/>
    </row>
    <row r="63" spans="1:2" ht="15">
      <c r="A63" s="298">
        <f t="shared" si="11"/>
        <v>0</v>
      </c>
      <c r="B63" s="235">
        <f>IF(AF24&gt;1,"  Hiba:  Csak az egyiket választhatja: részben vagy egészben visszakéri!","")</f>
      </c>
    </row>
    <row r="64" spans="1:2" ht="15">
      <c r="A64" s="298">
        <f t="shared" si="11"/>
        <v>1</v>
      </c>
      <c r="B64" s="465" t="str">
        <f>IF('2. oldal'!AM81=4,"","  Hiba: Helységnév, dátum kitöltése kötelező!")</f>
        <v>  Hiba: Helységnév, dátum kitöltése kötelező!</v>
      </c>
    </row>
    <row r="65" spans="1:2" ht="15">
      <c r="A65" s="298">
        <f t="shared" si="11"/>
        <v>0</v>
      </c>
      <c r="B65" s="235">
        <f>IF(AF6=2,"","  Hiba 11. Pont:  Átlagos statisztikai állományi létszám megadása kötelező!")</f>
      </c>
    </row>
    <row r="66" spans="1:2" ht="15">
      <c r="A66" s="298">
        <f t="shared" si="11"/>
        <v>0</v>
      </c>
      <c r="B66" s="202"/>
    </row>
    <row r="67" spans="1:2" ht="15">
      <c r="A67" s="298">
        <f t="shared" si="11"/>
        <v>0</v>
      </c>
      <c r="B67" s="202"/>
    </row>
    <row r="68" spans="1:30" ht="15.75">
      <c r="A68" s="298">
        <v>0</v>
      </c>
      <c r="B68" s="301" t="str">
        <f>IF(A68=0," E L L E N Ő R Z Ö T T"," H I B Á S")</f>
        <v> E L L E N Ő R Z Ö T T</v>
      </c>
      <c r="E68" s="334" t="str">
        <f>'1. oldal'!M131</f>
        <v> VAN HIBÁS LAP !</v>
      </c>
      <c r="AD68" s="335">
        <f>IF(B68=" E L L E N Ő R Z Ö T T",0,1)</f>
        <v>0</v>
      </c>
    </row>
  </sheetData>
  <sheetProtection/>
  <mergeCells count="25">
    <mergeCell ref="B14:P14"/>
    <mergeCell ref="B15:AD15"/>
    <mergeCell ref="B3:P3"/>
    <mergeCell ref="C4:D4"/>
    <mergeCell ref="C5:D5"/>
    <mergeCell ref="B13:AD13"/>
    <mergeCell ref="B29:AD29"/>
    <mergeCell ref="B30:AD30"/>
    <mergeCell ref="H21:P21"/>
    <mergeCell ref="B23:P23"/>
    <mergeCell ref="P26:AD26"/>
    <mergeCell ref="H27:P27"/>
    <mergeCell ref="B17:P17"/>
    <mergeCell ref="B18:P18"/>
    <mergeCell ref="B19:P19"/>
    <mergeCell ref="B20:H20"/>
    <mergeCell ref="C33:D33"/>
    <mergeCell ref="B36:AD36"/>
    <mergeCell ref="B31:AD31"/>
    <mergeCell ref="G57:AD57"/>
    <mergeCell ref="B37:AD37"/>
    <mergeCell ref="B38:AD38"/>
    <mergeCell ref="D51:I51"/>
    <mergeCell ref="E52:I52"/>
    <mergeCell ref="C32:D32"/>
  </mergeCells>
  <printOptions/>
  <pageMargins left="0.75" right="0.75" top="1" bottom="0.1701388888888889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8"/>
  <sheetViews>
    <sheetView showGridLines="0" view="pageBreakPreview" zoomScaleSheetLayoutView="100" zoomScalePageLayoutView="0" workbookViewId="0" topLeftCell="A7">
      <selection activeCell="N18" sqref="N18"/>
    </sheetView>
  </sheetViews>
  <sheetFormatPr defaultColWidth="9.140625" defaultRowHeight="12.75"/>
  <cols>
    <col min="1" max="1" width="4.7109375" style="250" customWidth="1"/>
    <col min="2" max="2" width="10.57421875" style="250" customWidth="1"/>
    <col min="3" max="3" width="20.28125" style="250" customWidth="1"/>
    <col min="4" max="4" width="12.7109375" style="250" customWidth="1"/>
    <col min="5" max="5" width="2.8515625" style="250" customWidth="1"/>
    <col min="6" max="9" width="0" style="250" hidden="1" customWidth="1"/>
    <col min="10" max="10" width="19.8515625" style="250" customWidth="1"/>
    <col min="11" max="11" width="3.00390625" style="250" customWidth="1"/>
    <col min="12" max="12" width="4.421875" style="250" customWidth="1"/>
    <col min="13" max="13" width="7.57421875" style="250" customWidth="1"/>
    <col min="14" max="14" width="11.140625" style="250" customWidth="1"/>
    <col min="15" max="15" width="10.421875" style="250" customWidth="1"/>
    <col min="16" max="19" width="9.140625" style="250" hidden="1" customWidth="1"/>
    <col min="20" max="16384" width="9.140625" style="250" customWidth="1"/>
  </cols>
  <sheetData>
    <row r="1" spans="1:13" s="817" customFormat="1" ht="16.5">
      <c r="A1" s="1266" t="s">
        <v>367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</row>
    <row r="2" spans="1:13" ht="4.5" customHeight="1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3" ht="6.75" customHeight="1"/>
    <row r="4" ht="15" hidden="1"/>
    <row r="5" spans="1:13" ht="15.75" customHeight="1">
      <c r="A5" s="467">
        <f>'1. oldal'!AB11</f>
        <v>2012</v>
      </c>
      <c r="B5" s="468" t="s">
        <v>607</v>
      </c>
      <c r="C5" s="893"/>
      <c r="D5" s="469" t="str">
        <f>'1. oldal'!K14</f>
        <v>Szabadszállás</v>
      </c>
      <c r="E5" s="893" t="s">
        <v>608</v>
      </c>
      <c r="F5" s="893"/>
      <c r="G5" s="893"/>
      <c r="H5" s="893"/>
      <c r="I5" s="893"/>
      <c r="J5" s="893"/>
      <c r="K5" s="893"/>
      <c r="L5" s="893"/>
      <c r="M5" s="894"/>
    </row>
    <row r="6" spans="1:13" ht="14.25">
      <c r="A6" s="1286" t="s">
        <v>609</v>
      </c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</row>
    <row r="7" spans="1:13" ht="14.25">
      <c r="A7" s="1286" t="s">
        <v>374</v>
      </c>
      <c r="B7" s="1286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</row>
    <row r="8" spans="1:13" ht="14.25">
      <c r="A8" s="1267" t="s">
        <v>356</v>
      </c>
      <c r="B8" s="1267"/>
      <c r="C8" s="1267"/>
      <c r="D8" s="1267"/>
      <c r="E8" s="1267"/>
      <c r="F8" s="1267"/>
      <c r="G8" s="1267"/>
      <c r="H8" s="1267"/>
      <c r="I8" s="1267"/>
      <c r="J8" s="1267"/>
      <c r="K8" s="1267"/>
      <c r="L8" s="1267"/>
      <c r="M8" s="1267"/>
    </row>
    <row r="9" spans="1:13" ht="14.25">
      <c r="A9" s="1267"/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</row>
    <row r="10" spans="1:13" ht="14.25">
      <c r="A10" s="1281" t="s">
        <v>361</v>
      </c>
      <c r="B10" s="1281"/>
      <c r="C10" s="1281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</row>
    <row r="11" spans="1:13" ht="14.25">
      <c r="A11" s="1270" t="s">
        <v>362</v>
      </c>
      <c r="B11" s="1270"/>
      <c r="C11" s="1270"/>
      <c r="D11" s="471"/>
      <c r="E11" s="471"/>
      <c r="F11" s="471"/>
      <c r="G11" s="471"/>
      <c r="H11" s="471"/>
      <c r="I11" s="471"/>
      <c r="J11" s="471"/>
      <c r="K11" s="471"/>
      <c r="L11" s="471"/>
      <c r="M11" s="472"/>
    </row>
    <row r="12" spans="1:13" ht="15.75">
      <c r="A12" s="1283">
        <f>'1. oldal'!K69</f>
        <v>0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L12" s="1284"/>
      <c r="M12" s="1284"/>
    </row>
    <row r="13" spans="1:13" ht="15.75">
      <c r="A13" s="1270" t="s">
        <v>202</v>
      </c>
      <c r="B13" s="1270"/>
      <c r="C13" s="1271">
        <f>IF('1. oldal'!T74="","",'1. oldal'!T74)</f>
        <v>0</v>
      </c>
      <c r="D13" s="1271"/>
      <c r="E13" s="1271"/>
      <c r="F13" s="1271"/>
      <c r="G13" s="1271"/>
      <c r="H13" s="1271"/>
      <c r="I13" s="1271"/>
      <c r="J13" s="1271"/>
      <c r="K13" s="1271"/>
      <c r="L13" s="1271"/>
      <c r="M13" s="1271"/>
    </row>
    <row r="14" spans="1:13" ht="14.25">
      <c r="A14" s="1274" t="s">
        <v>363</v>
      </c>
      <c r="B14" s="1274"/>
      <c r="C14" s="1274"/>
      <c r="D14" s="1274"/>
      <c r="E14" s="1275">
        <f>IF('1. oldal'!K74="","",'1. oldal'!K74)</f>
      </c>
      <c r="F14" s="1275"/>
      <c r="G14" s="1275"/>
      <c r="H14" s="1275"/>
      <c r="I14" s="1275"/>
      <c r="J14" s="1275"/>
      <c r="K14" s="1275"/>
      <c r="L14" s="1275"/>
      <c r="M14" s="1275"/>
    </row>
    <row r="15" spans="1:13" ht="14.25">
      <c r="A15" s="311"/>
      <c r="B15" s="311"/>
      <c r="C15" s="311"/>
      <c r="D15" s="311"/>
      <c r="E15" s="311"/>
      <c r="F15" s="311"/>
      <c r="G15" s="311"/>
      <c r="H15" s="311"/>
      <c r="J15" s="240"/>
      <c r="K15" s="240"/>
      <c r="L15" s="240"/>
      <c r="M15" s="240"/>
    </row>
    <row r="16" spans="1:14" ht="30" customHeight="1" thickBot="1">
      <c r="A16" s="1272" t="s">
        <v>364</v>
      </c>
      <c r="B16" s="1272"/>
      <c r="C16" s="1272"/>
      <c r="D16" s="1272"/>
      <c r="E16" s="1272"/>
      <c r="J16" s="669" t="s">
        <v>365</v>
      </c>
      <c r="K16" s="1273" t="s">
        <v>132</v>
      </c>
      <c r="L16" s="1273"/>
      <c r="M16" s="1273"/>
      <c r="N16" s="1113" t="s">
        <v>25</v>
      </c>
    </row>
    <row r="17" spans="1:24" ht="31.5" customHeight="1" thickBot="1">
      <c r="A17" s="474" t="s">
        <v>241</v>
      </c>
      <c r="B17" s="1280" t="s">
        <v>382</v>
      </c>
      <c r="C17" s="1280"/>
      <c r="D17" s="1280"/>
      <c r="E17" s="1280"/>
      <c r="F17" s="319"/>
      <c r="G17" s="319"/>
      <c r="H17" s="319"/>
      <c r="I17" s="319"/>
      <c r="J17" s="670">
        <f>J18-J19-J20-J21-J22</f>
        <v>0</v>
      </c>
      <c r="K17" s="1269"/>
      <c r="L17" s="1269"/>
      <c r="M17" s="1269"/>
      <c r="N17" s="1111">
        <v>0</v>
      </c>
      <c r="P17" s="425">
        <f>IF(J17&lt;0,"Nem lehet negatív!","")</f>
      </c>
      <c r="Q17" s="425"/>
      <c r="R17" s="425"/>
      <c r="S17" s="425">
        <f aca="true" t="shared" si="0" ref="S17:S23">IF(P17="",0,1)</f>
        <v>0</v>
      </c>
      <c r="T17" s="325">
        <f>IF('1. oldal'!C101="",0,5)</f>
        <v>0</v>
      </c>
      <c r="U17" s="325">
        <f>IF(J17&gt;8000000,1,0)</f>
        <v>0</v>
      </c>
      <c r="V17" s="1060">
        <f>IF(T17+U17=6,1,0)</f>
        <v>0</v>
      </c>
      <c r="W17" s="325"/>
      <c r="X17" s="325"/>
    </row>
    <row r="18" spans="1:25" ht="44.25" customHeight="1" thickBot="1">
      <c r="A18" s="476" t="s">
        <v>243</v>
      </c>
      <c r="B18" s="1268" t="s">
        <v>383</v>
      </c>
      <c r="C18" s="1268"/>
      <c r="D18" s="1268"/>
      <c r="E18" s="1268"/>
      <c r="F18" s="477"/>
      <c r="G18" s="477"/>
      <c r="H18" s="477"/>
      <c r="I18" s="477"/>
      <c r="J18" s="849">
        <f>T18</f>
        <v>0</v>
      </c>
      <c r="K18" s="1269"/>
      <c r="L18" s="1269"/>
      <c r="M18" s="1269"/>
      <c r="N18" s="478">
        <f>IF('x2_oldal'!P28=1,"9111. Sor = átalányadó alapja","")</f>
      </c>
      <c r="P18" s="479">
        <f aca="true" t="shared" si="1" ref="P18:P23">IF(J18=ROUND((J18),0),"","Csak egész számot írhat be!")</f>
      </c>
      <c r="Q18" s="240"/>
      <c r="R18" s="240"/>
      <c r="S18" s="240">
        <f t="shared" si="0"/>
        <v>0</v>
      </c>
      <c r="T18" s="1114">
        <f>'A.1- LAP'!J24+'A.1- LAP'!J29+'A.1- LAP'!J32+N17</f>
        <v>0</v>
      </c>
      <c r="U18" s="1113" t="s">
        <v>535</v>
      </c>
      <c r="V18" s="1113"/>
      <c r="W18" s="1113"/>
      <c r="X18" s="1113"/>
      <c r="Y18" s="1113"/>
    </row>
    <row r="19" spans="1:19" ht="45.75" customHeight="1">
      <c r="A19" s="474" t="s">
        <v>245</v>
      </c>
      <c r="B19" s="1268" t="s">
        <v>384</v>
      </c>
      <c r="C19" s="1268"/>
      <c r="D19" s="1268"/>
      <c r="E19" s="1268"/>
      <c r="F19" s="319"/>
      <c r="G19" s="319"/>
      <c r="H19" s="319"/>
      <c r="I19" s="319"/>
      <c r="J19" s="849"/>
      <c r="K19" s="1269"/>
      <c r="L19" s="1269"/>
      <c r="M19" s="1269"/>
      <c r="N19" s="326">
        <f>IF(N18="","","Árbevétel:")</f>
      </c>
      <c r="O19" s="1112"/>
      <c r="P19" s="479">
        <f t="shared" si="1"/>
      </c>
      <c r="Q19" s="240"/>
      <c r="R19" s="240"/>
      <c r="S19" s="240">
        <f t="shared" si="0"/>
        <v>0</v>
      </c>
    </row>
    <row r="20" spans="1:19" ht="30" customHeight="1">
      <c r="A20" s="480" t="s">
        <v>247</v>
      </c>
      <c r="B20" s="1278" t="s">
        <v>385</v>
      </c>
      <c r="C20" s="1278"/>
      <c r="D20" s="1278"/>
      <c r="E20" s="1278"/>
      <c r="F20" s="477"/>
      <c r="G20" s="477"/>
      <c r="H20" s="477"/>
      <c r="I20" s="477"/>
      <c r="J20" s="849"/>
      <c r="K20" s="1269"/>
      <c r="L20" s="1269"/>
      <c r="M20" s="1269"/>
      <c r="O20" s="481">
        <f>IF(N18="",O19*0.8,"")</f>
        <v>0</v>
      </c>
      <c r="P20" s="479">
        <f t="shared" si="1"/>
      </c>
      <c r="Q20" s="240"/>
      <c r="R20" s="240"/>
      <c r="S20" s="240">
        <f t="shared" si="0"/>
        <v>0</v>
      </c>
    </row>
    <row r="21" spans="1:19" ht="30.75" customHeight="1">
      <c r="A21" s="482" t="s">
        <v>248</v>
      </c>
      <c r="B21" s="1278" t="s">
        <v>386</v>
      </c>
      <c r="C21" s="1278"/>
      <c r="D21" s="1278"/>
      <c r="E21" s="1278"/>
      <c r="F21" s="240"/>
      <c r="G21" s="240"/>
      <c r="H21" s="240"/>
      <c r="I21" s="240"/>
      <c r="J21" s="849"/>
      <c r="K21" s="1269"/>
      <c r="L21" s="1269"/>
      <c r="M21" s="1269"/>
      <c r="P21" s="479">
        <f t="shared" si="1"/>
      </c>
      <c r="Q21" s="240"/>
      <c r="R21" s="240"/>
      <c r="S21" s="240">
        <f t="shared" si="0"/>
        <v>0</v>
      </c>
    </row>
    <row r="22" spans="1:19" ht="15">
      <c r="A22" s="482" t="s">
        <v>254</v>
      </c>
      <c r="B22" s="1278" t="s">
        <v>387</v>
      </c>
      <c r="C22" s="1278"/>
      <c r="D22" s="1278"/>
      <c r="E22" s="1278"/>
      <c r="F22" s="240"/>
      <c r="G22" s="240"/>
      <c r="H22" s="240"/>
      <c r="I22" s="240"/>
      <c r="J22" s="1049"/>
      <c r="K22" s="1269"/>
      <c r="L22" s="1269"/>
      <c r="M22" s="1269"/>
      <c r="P22" s="479">
        <f t="shared" si="1"/>
      </c>
      <c r="Q22" s="240"/>
      <c r="R22" s="240"/>
      <c r="S22" s="240">
        <f t="shared" si="0"/>
        <v>0</v>
      </c>
    </row>
    <row r="23" spans="1:19" ht="15" hidden="1">
      <c r="A23" s="482"/>
      <c r="B23" s="1278"/>
      <c r="C23" s="1278"/>
      <c r="D23" s="1278"/>
      <c r="E23" s="1278"/>
      <c r="F23" s="240"/>
      <c r="G23" s="240"/>
      <c r="H23" s="240"/>
      <c r="I23" s="240"/>
      <c r="J23" s="483"/>
      <c r="K23" s="1279"/>
      <c r="L23" s="1279"/>
      <c r="M23" s="1279"/>
      <c r="P23" s="479">
        <f t="shared" si="1"/>
      </c>
      <c r="Q23" s="240"/>
      <c r="R23" s="240"/>
      <c r="S23" s="240">
        <f t="shared" si="0"/>
        <v>0</v>
      </c>
    </row>
    <row r="24" spans="2:19" ht="15">
      <c r="B24" s="484" t="str">
        <f>'2. oldal'!B82</f>
        <v>Készítette:</v>
      </c>
      <c r="C24" s="485" t="str">
        <f>'2. oldal'!E82</f>
        <v>www.iparuzes.hu                   .</v>
      </c>
      <c r="S24" s="250">
        <f>SUM(S17:S23)</f>
        <v>0</v>
      </c>
    </row>
    <row r="26" ht="3" customHeight="1"/>
    <row r="29" spans="1:13" ht="15.75">
      <c r="A29" s="1276" t="str">
        <f>IF('2. oldal'!B81="","",'2. oldal'!B81)</f>
        <v>Szabadszállás</v>
      </c>
      <c r="B29" s="1276"/>
      <c r="C29" s="1276"/>
      <c r="D29" s="427">
        <f>IF('2. oldal'!E81="","",'2. oldal'!E81)</f>
        <v>2013</v>
      </c>
      <c r="E29" s="486" t="s">
        <v>134</v>
      </c>
      <c r="F29" s="486"/>
      <c r="G29" s="486"/>
      <c r="H29" s="486"/>
      <c r="I29" s="486"/>
      <c r="J29" s="427">
        <f>IF('2. oldal'!H81="","",'2. oldal'!H81)</f>
      </c>
      <c r="K29" s="486" t="s">
        <v>135</v>
      </c>
      <c r="L29" s="427">
        <f>IF('2. oldal'!N81="","",'2. oldal'!N81)</f>
      </c>
      <c r="M29" s="250" t="s">
        <v>210</v>
      </c>
    </row>
    <row r="31" spans="4:13" ht="15"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  <row r="32" spans="4:13" ht="15">
      <c r="D32" s="487"/>
      <c r="E32" s="487"/>
      <c r="F32" s="487"/>
      <c r="G32" s="487"/>
      <c r="H32" s="487"/>
      <c r="I32" s="487"/>
      <c r="J32" s="487"/>
      <c r="K32" s="487"/>
      <c r="L32" s="487"/>
      <c r="M32" s="488"/>
    </row>
    <row r="33" spans="1:13" ht="15">
      <c r="A33" s="298"/>
      <c r="B33" s="479"/>
      <c r="D33" s="1277" t="s">
        <v>388</v>
      </c>
      <c r="E33" s="1277"/>
      <c r="F33" s="1277"/>
      <c r="G33" s="1277"/>
      <c r="H33" s="1277"/>
      <c r="I33" s="1277"/>
      <c r="J33" s="1277"/>
      <c r="K33" s="1277"/>
      <c r="L33" s="1277"/>
      <c r="M33" s="1277"/>
    </row>
    <row r="34" spans="1:2" ht="15" hidden="1">
      <c r="A34" s="298"/>
      <c r="B34" s="479"/>
    </row>
    <row r="35" spans="1:2" ht="15">
      <c r="A35" s="298"/>
      <c r="B35" s="479"/>
    </row>
    <row r="36" spans="1:2" ht="8.25" customHeight="1">
      <c r="A36" s="298"/>
      <c r="B36" s="479"/>
    </row>
    <row r="37" spans="1:2" ht="15" hidden="1">
      <c r="A37" s="298"/>
      <c r="B37" s="479"/>
    </row>
    <row r="38" spans="1:2" ht="15">
      <c r="A38" s="298"/>
      <c r="B38" s="479"/>
    </row>
    <row r="39" spans="1:2" ht="15">
      <c r="A39" s="298">
        <f>IF(B39="",0,1)</f>
        <v>0</v>
      </c>
      <c r="B39" s="235">
        <f>IF('A.LAP'!V17=0,""," Egyszerűsített adómegállapítás esetén árbevétel&gt;8 mill Ft")</f>
      </c>
    </row>
    <row r="40" spans="1:2" ht="15">
      <c r="A40" s="298">
        <f>IF(B40="",0,1)</f>
        <v>0</v>
      </c>
      <c r="B40" s="235">
        <f>IF('A.1- LAP'!A55=0,""," Hibás az A/1 lap")</f>
      </c>
    </row>
    <row r="41" spans="1:2" ht="15">
      <c r="A41" s="298">
        <f>IF(S24=0,0,1)</f>
        <v>0</v>
      </c>
      <c r="B41" s="235">
        <f>IF(A41=0,"","A lapon negatív és/vagy tört szám van!")</f>
      </c>
    </row>
    <row r="42" spans="1:2" ht="15">
      <c r="A42" s="298">
        <f>IF(B42="",0,1)</f>
        <v>0</v>
      </c>
      <c r="B42" s="235">
        <f>IF('x4_ oldal'!A68=0,"","Az 1-4. lap hibás!")</f>
      </c>
    </row>
    <row r="43" spans="1:2" ht="15">
      <c r="A43" s="298">
        <f>IF(B43="",0,1)</f>
        <v>0</v>
      </c>
      <c r="B43" s="235">
        <f>IF(AND('x2_oldal'!P28=1,'A.LAP'!O19=0),"Írja be az árbevétel adatokat is(O 17-es cella)! A 9111-es sorba az átalányadó alapját írja be!","")</f>
      </c>
    </row>
    <row r="44" spans="1:2" ht="15">
      <c r="A44" s="298">
        <f>IF(B44="",0,1)</f>
        <v>0</v>
      </c>
      <c r="B44" s="235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298">
        <f>IF(B45="",0,1)</f>
        <v>0</v>
      </c>
      <c r="B45" s="235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298">
        <f>SUM(A39:A45)</f>
        <v>0</v>
      </c>
      <c r="B46" s="301" t="str">
        <f>IF(A46=0," E L L E N Ő R Z Ö T T "," H I B Á S")</f>
        <v> E L L E N Ő R Z Ö T T </v>
      </c>
      <c r="D46" s="334" t="str">
        <f>'1. oldal'!M131</f>
        <v> VAN HIBÁS LAP !</v>
      </c>
      <c r="M46" s="335">
        <f>IF(B46=" E L L E N Ő R Z Ö T T ",0,1)</f>
        <v>0</v>
      </c>
    </row>
    <row r="48" spans="1:3" ht="31.5" customHeight="1">
      <c r="A48" s="489"/>
      <c r="C48" s="490"/>
    </row>
  </sheetData>
  <sheetProtection password="C1DD" sheet="1" objects="1" scenarios="1"/>
  <mergeCells count="32">
    <mergeCell ref="A2:M2"/>
    <mergeCell ref="A6:M6"/>
    <mergeCell ref="A7:M7"/>
    <mergeCell ref="A8:M8"/>
    <mergeCell ref="A10:C10"/>
    <mergeCell ref="D10:M10"/>
    <mergeCell ref="A11:C11"/>
    <mergeCell ref="A12:M12"/>
    <mergeCell ref="B17:E17"/>
    <mergeCell ref="K17:M17"/>
    <mergeCell ref="B18:E18"/>
    <mergeCell ref="K18:M18"/>
    <mergeCell ref="B21:E21"/>
    <mergeCell ref="K21:M21"/>
    <mergeCell ref="B20:E20"/>
    <mergeCell ref="K20:M20"/>
    <mergeCell ref="A29:C29"/>
    <mergeCell ref="D33:M33"/>
    <mergeCell ref="B22:E22"/>
    <mergeCell ref="K22:M22"/>
    <mergeCell ref="B23:E23"/>
    <mergeCell ref="K23:M23"/>
    <mergeCell ref="A1:M1"/>
    <mergeCell ref="A9:M9"/>
    <mergeCell ref="B19:E19"/>
    <mergeCell ref="K19:M19"/>
    <mergeCell ref="A13:B13"/>
    <mergeCell ref="C13:M13"/>
    <mergeCell ref="A16:E16"/>
    <mergeCell ref="K16:M16"/>
    <mergeCell ref="A14:D14"/>
    <mergeCell ref="E14:M14"/>
  </mergeCells>
  <printOptions/>
  <pageMargins left="0.75" right="0.75" top="1" bottom="0.15972222222222224" header="0.5118055555555556" footer="0.5118055555555556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7"/>
  <sheetViews>
    <sheetView showGridLines="0" view="pageBreakPreview" zoomScaleSheetLayoutView="100" zoomScalePageLayoutView="0" workbookViewId="0" topLeftCell="A2">
      <selection activeCell="B25" sqref="B25:E25"/>
    </sheetView>
  </sheetViews>
  <sheetFormatPr defaultColWidth="9.140625" defaultRowHeight="12.75"/>
  <cols>
    <col min="1" max="1" width="4.7109375" style="250" customWidth="1"/>
    <col min="2" max="2" width="10.57421875" style="250" customWidth="1"/>
    <col min="3" max="3" width="20.28125" style="250" customWidth="1"/>
    <col min="4" max="4" width="12.8515625" style="250" customWidth="1"/>
    <col min="5" max="5" width="2.8515625" style="250" customWidth="1"/>
    <col min="6" max="9" width="0" style="250" hidden="1" customWidth="1"/>
    <col min="10" max="10" width="19.8515625" style="250" customWidth="1"/>
    <col min="11" max="11" width="3.00390625" style="250" customWidth="1"/>
    <col min="12" max="12" width="4.421875" style="250" customWidth="1"/>
    <col min="13" max="13" width="7.57421875" style="250" customWidth="1"/>
    <col min="14" max="14" width="11.140625" style="250" hidden="1" customWidth="1"/>
    <col min="15" max="15" width="10.421875" style="250" hidden="1" customWidth="1"/>
    <col min="16" max="20" width="9.140625" style="250" hidden="1" customWidth="1"/>
    <col min="21" max="21" width="4.28125" style="808" customWidth="1"/>
    <col min="22" max="22" width="2.421875" style="808" customWidth="1"/>
    <col min="23" max="16384" width="9.140625" style="250" customWidth="1"/>
  </cols>
  <sheetData>
    <row r="1" ht="20.25">
      <c r="M1" s="466" t="s">
        <v>514</v>
      </c>
    </row>
    <row r="2" spans="1:13" ht="19.5">
      <c r="A2" s="1285"/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</row>
    <row r="4" ht="15" hidden="1"/>
    <row r="5" spans="1:13" ht="15.75" customHeight="1">
      <c r="A5" s="467">
        <f>'1. oldal'!AB11</f>
        <v>2012</v>
      </c>
      <c r="B5" s="809" t="s">
        <v>515</v>
      </c>
      <c r="C5" s="469" t="str">
        <f>'1. oldal'!K14</f>
        <v>Szabadszállás</v>
      </c>
      <c r="D5" s="809" t="s">
        <v>358</v>
      </c>
      <c r="E5" s="468"/>
      <c r="F5" s="468"/>
      <c r="G5" s="468"/>
      <c r="H5" s="468"/>
      <c r="I5" s="468"/>
      <c r="J5" s="468"/>
      <c r="K5" s="468"/>
      <c r="L5" s="468"/>
      <c r="M5" s="470"/>
    </row>
    <row r="6" spans="1:13" ht="15">
      <c r="A6" s="1287" t="s">
        <v>516</v>
      </c>
      <c r="B6" s="1287"/>
      <c r="C6" s="1287"/>
      <c r="D6" s="1287"/>
      <c r="E6" s="1287"/>
      <c r="F6" s="1287"/>
      <c r="G6" s="1287"/>
      <c r="H6" s="1287"/>
      <c r="I6" s="1287"/>
      <c r="J6" s="1287"/>
      <c r="K6" s="1287"/>
      <c r="L6" s="1287"/>
      <c r="M6" s="1287"/>
    </row>
    <row r="7" spans="1:13" ht="15">
      <c r="A7" s="1287" t="s">
        <v>517</v>
      </c>
      <c r="B7" s="1287"/>
      <c r="C7" s="1287"/>
      <c r="D7" s="1287"/>
      <c r="E7" s="1287"/>
      <c r="F7" s="1287"/>
      <c r="G7" s="1287"/>
      <c r="H7" s="1287"/>
      <c r="I7" s="1287"/>
      <c r="J7" s="1287"/>
      <c r="K7" s="1287"/>
      <c r="L7" s="1287"/>
      <c r="M7" s="1287"/>
    </row>
    <row r="8" spans="1:13" ht="15">
      <c r="A8" s="1288" t="s">
        <v>518</v>
      </c>
      <c r="B8" s="1288"/>
      <c r="C8" s="1288"/>
      <c r="D8" s="1288"/>
      <c r="E8" s="1288"/>
      <c r="F8" s="1288"/>
      <c r="G8" s="1288"/>
      <c r="H8" s="1288"/>
      <c r="I8" s="1288"/>
      <c r="J8" s="1288"/>
      <c r="K8" s="1288"/>
      <c r="L8" s="1288"/>
      <c r="M8" s="1288"/>
    </row>
    <row r="9" spans="1:13" ht="15">
      <c r="A9" s="1289" t="s">
        <v>519</v>
      </c>
      <c r="B9" s="1289"/>
      <c r="C9" s="1289"/>
      <c r="D9" s="1289"/>
      <c r="E9" s="1289"/>
      <c r="F9" s="1289"/>
      <c r="G9" s="1289"/>
      <c r="H9" s="1289"/>
      <c r="I9" s="1289"/>
      <c r="J9" s="1289"/>
      <c r="K9" s="1289"/>
      <c r="L9" s="1289"/>
      <c r="M9" s="1289"/>
    </row>
    <row r="10" ht="6.75" customHeight="1"/>
    <row r="11" spans="1:13" ht="15">
      <c r="A11" s="1290" t="s">
        <v>361</v>
      </c>
      <c r="B11" s="1290"/>
      <c r="C11" s="1290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</row>
    <row r="12" spans="1:13" ht="15">
      <c r="A12" s="1270" t="s">
        <v>362</v>
      </c>
      <c r="B12" s="1270"/>
      <c r="C12" s="1270"/>
      <c r="D12" s="471"/>
      <c r="E12" s="471"/>
      <c r="F12" s="471"/>
      <c r="G12" s="471"/>
      <c r="H12" s="471"/>
      <c r="I12" s="471"/>
      <c r="J12" s="471"/>
      <c r="K12" s="471"/>
      <c r="L12" s="471"/>
      <c r="M12" s="472"/>
    </row>
    <row r="13" spans="1:14" ht="15.75">
      <c r="A13" s="1284">
        <f>'F.LAP'!A12</f>
        <v>0</v>
      </c>
      <c r="B13" s="1284"/>
      <c r="C13" s="1284"/>
      <c r="D13" s="1284"/>
      <c r="E13" s="1284"/>
      <c r="F13" s="1284"/>
      <c r="G13" s="1284"/>
      <c r="H13" s="1284"/>
      <c r="I13" s="1284"/>
      <c r="J13" s="1284"/>
      <c r="K13" s="1284"/>
      <c r="L13" s="1284"/>
      <c r="M13" s="1284"/>
      <c r="N13" s="1284"/>
    </row>
    <row r="14" spans="1:13" ht="15.75">
      <c r="A14" s="1270" t="s">
        <v>202</v>
      </c>
      <c r="B14" s="1270"/>
      <c r="C14" s="1271">
        <f>IF('1. oldal'!T74="","",'1. oldal'!T74)</f>
        <v>0</v>
      </c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</row>
    <row r="15" spans="1:13" ht="15">
      <c r="A15" s="1274" t="s">
        <v>363</v>
      </c>
      <c r="B15" s="1274"/>
      <c r="C15" s="1274"/>
      <c r="D15" s="1274"/>
      <c r="E15" s="1275">
        <f>IF('1. oldal'!K74="","",'1. oldal'!K74)</f>
      </c>
      <c r="F15" s="1275"/>
      <c r="G15" s="1275"/>
      <c r="H15" s="1275"/>
      <c r="I15" s="1275"/>
      <c r="J15" s="1275"/>
      <c r="K15" s="1275"/>
      <c r="L15" s="1275"/>
      <c r="M15" s="1275"/>
    </row>
    <row r="16" spans="1:13" ht="6" customHeight="1">
      <c r="A16" s="240"/>
      <c r="B16" s="240"/>
      <c r="C16" s="240"/>
      <c r="D16" s="240"/>
      <c r="E16" s="240"/>
      <c r="F16" s="240"/>
      <c r="G16" s="240"/>
      <c r="H16" s="240"/>
      <c r="J16" s="240"/>
      <c r="K16" s="240"/>
      <c r="L16" s="240"/>
      <c r="M16" s="240"/>
    </row>
    <row r="17" spans="1:13" ht="30" customHeight="1">
      <c r="A17" s="1293" t="s">
        <v>364</v>
      </c>
      <c r="B17" s="1293"/>
      <c r="C17" s="1293"/>
      <c r="D17" s="1293"/>
      <c r="E17" s="1293"/>
      <c r="F17" s="810"/>
      <c r="G17" s="810"/>
      <c r="H17" s="810"/>
      <c r="I17" s="810"/>
      <c r="J17" s="811" t="s">
        <v>365</v>
      </c>
      <c r="K17" s="1273" t="s">
        <v>132</v>
      </c>
      <c r="L17" s="1273"/>
      <c r="M17" s="1273"/>
    </row>
    <row r="18" spans="1:22" s="240" customFormat="1" ht="28.5" customHeight="1">
      <c r="A18" s="812"/>
      <c r="B18" s="1294" t="s">
        <v>520</v>
      </c>
      <c r="C18" s="1294"/>
      <c r="D18" s="1294"/>
      <c r="E18" s="1294"/>
      <c r="J18" s="813"/>
      <c r="K18" s="1269"/>
      <c r="L18" s="1269"/>
      <c r="M18" s="1269"/>
      <c r="P18" s="255">
        <f>IF(J18&lt;0,"Nem lehet negatív!","")</f>
      </c>
      <c r="S18" s="240">
        <f>IF(P18="",0,1)</f>
        <v>0</v>
      </c>
      <c r="U18" s="814"/>
      <c r="V18" s="814"/>
    </row>
    <row r="19" spans="1:22" s="817" customFormat="1" ht="3" customHeight="1" thickBot="1">
      <c r="A19" s="815"/>
      <c r="B19" s="816"/>
      <c r="C19" s="816"/>
      <c r="D19" s="816"/>
      <c r="E19" s="816"/>
      <c r="J19" s="818"/>
      <c r="K19" s="819"/>
      <c r="L19" s="819"/>
      <c r="M19" s="819"/>
      <c r="P19" s="820"/>
      <c r="U19" s="821"/>
      <c r="V19" s="821"/>
    </row>
    <row r="20" spans="1:21" ht="21" customHeight="1">
      <c r="A20" s="822" t="s">
        <v>241</v>
      </c>
      <c r="B20" s="1295" t="s">
        <v>521</v>
      </c>
      <c r="C20" s="1295"/>
      <c r="D20" s="1295"/>
      <c r="E20" s="1295"/>
      <c r="F20" s="823"/>
      <c r="G20" s="823"/>
      <c r="H20" s="823"/>
      <c r="I20" s="823"/>
      <c r="J20" s="824"/>
      <c r="K20" s="1296">
        <f>IF(V22=1," Kitöltendő","")</f>
      </c>
      <c r="L20" s="1297"/>
      <c r="M20" s="1297"/>
      <c r="N20" s="825"/>
      <c r="O20" s="826"/>
      <c r="P20" s="827"/>
      <c r="Q20" s="817"/>
      <c r="R20" s="817"/>
      <c r="S20" s="817"/>
      <c r="T20" s="826"/>
      <c r="U20" s="808">
        <f>IF(J20&gt;0,1,0)</f>
        <v>0</v>
      </c>
    </row>
    <row r="21" spans="1:22" s="240" customFormat="1" ht="11.25" customHeight="1">
      <c r="A21" s="828"/>
      <c r="B21" s="1298" t="s">
        <v>522</v>
      </c>
      <c r="C21" s="1298"/>
      <c r="D21" s="1298"/>
      <c r="E21" s="1298"/>
      <c r="J21" s="829"/>
      <c r="K21" s="819"/>
      <c r="L21" s="819"/>
      <c r="M21" s="819"/>
      <c r="N21" s="830"/>
      <c r="O21" s="817"/>
      <c r="P21" s="820"/>
      <c r="Q21" s="817"/>
      <c r="R21" s="817"/>
      <c r="S21" s="817"/>
      <c r="T21" s="817"/>
      <c r="U21" s="814"/>
      <c r="V21" s="814"/>
    </row>
    <row r="22" spans="1:41" ht="24" customHeight="1">
      <c r="A22" s="831">
        <v>2</v>
      </c>
      <c r="B22" s="1291" t="s">
        <v>523</v>
      </c>
      <c r="C22" s="1291"/>
      <c r="D22" s="1291"/>
      <c r="E22" s="1291"/>
      <c r="F22" s="810"/>
      <c r="G22" s="810"/>
      <c r="H22" s="810"/>
      <c r="I22" s="810"/>
      <c r="J22" s="832"/>
      <c r="K22" s="1292"/>
      <c r="L22" s="1292"/>
      <c r="M22" s="1292"/>
      <c r="N22" s="833"/>
      <c r="O22" s="834"/>
      <c r="P22" s="820"/>
      <c r="Q22" s="817"/>
      <c r="R22" s="817"/>
      <c r="S22" s="817"/>
      <c r="T22" s="817"/>
      <c r="V22" s="808">
        <f>IF('1. oldal'!C97="",0,1)</f>
        <v>0</v>
      </c>
      <c r="W22" s="1299">
        <f>IF(V22=1,"1.a  A 2012. adóévre az adóalap egyszerűsített megállapítási módját választom/ választottam.(átalányadó)","")</f>
      </c>
      <c r="X22" s="1299"/>
      <c r="Y22" s="1299"/>
      <c r="Z22" s="1299"/>
      <c r="AA22" s="1299"/>
      <c r="AB22" s="1299"/>
      <c r="AC22" s="1299"/>
      <c r="AD22" s="1299"/>
      <c r="AE22" s="1299"/>
      <c r="AF22" s="1299"/>
      <c r="AG22" s="1299"/>
      <c r="AH22" s="1299"/>
      <c r="AI22" s="1299"/>
      <c r="AJ22" s="1299"/>
      <c r="AK22" s="1299"/>
      <c r="AL22" s="1299"/>
      <c r="AM22" s="1299"/>
      <c r="AN22" s="1299"/>
      <c r="AO22" s="1299"/>
    </row>
    <row r="23" spans="1:41" s="240" customFormat="1" ht="12" customHeight="1">
      <c r="A23" s="835"/>
      <c r="B23" s="1298" t="s">
        <v>524</v>
      </c>
      <c r="C23" s="1298"/>
      <c r="D23" s="1298"/>
      <c r="E23" s="1298"/>
      <c r="J23" s="829"/>
      <c r="K23" s="1292"/>
      <c r="L23" s="1292"/>
      <c r="M23" s="1292"/>
      <c r="N23" s="817"/>
      <c r="O23" s="836"/>
      <c r="P23" s="820"/>
      <c r="Q23" s="817"/>
      <c r="R23" s="817"/>
      <c r="S23" s="817"/>
      <c r="T23" s="817"/>
      <c r="U23" s="814"/>
      <c r="V23" s="808">
        <f>IF('1. oldal'!C101="",0,1)</f>
        <v>0</v>
      </c>
      <c r="W23" s="1299">
        <f>IF(V23=1,"1.b  A 2012. adóévre az adóalap egyszerűsített megállapítási módját választom/ választottam. (egyéb)","")</f>
      </c>
      <c r="X23" s="1299"/>
      <c r="Y23" s="1299"/>
      <c r="Z23" s="1299"/>
      <c r="AA23" s="1299"/>
      <c r="AB23" s="1299"/>
      <c r="AC23" s="1299"/>
      <c r="AD23" s="1299"/>
      <c r="AE23" s="1299"/>
      <c r="AF23" s="1299"/>
      <c r="AG23" s="1299"/>
      <c r="AH23" s="1299"/>
      <c r="AI23" s="1299"/>
      <c r="AJ23" s="1299"/>
      <c r="AK23" s="1299"/>
      <c r="AL23" s="1299"/>
      <c r="AM23" s="1299"/>
      <c r="AN23" s="1299"/>
      <c r="AO23" s="1299"/>
    </row>
    <row r="24" spans="1:41" ht="30.75" customHeight="1">
      <c r="A24" s="831">
        <v>3</v>
      </c>
      <c r="B24" s="1291" t="s">
        <v>525</v>
      </c>
      <c r="C24" s="1291"/>
      <c r="D24" s="1291"/>
      <c r="E24" s="1291"/>
      <c r="F24" s="810"/>
      <c r="G24" s="810"/>
      <c r="H24" s="810"/>
      <c r="I24" s="810"/>
      <c r="J24" s="837">
        <f>J20-J22</f>
        <v>0</v>
      </c>
      <c r="K24" s="1292"/>
      <c r="L24" s="1292"/>
      <c r="M24" s="1292"/>
      <c r="N24" s="817"/>
      <c r="O24" s="817"/>
      <c r="P24" s="820"/>
      <c r="Q24" s="817"/>
      <c r="R24" s="817"/>
      <c r="S24" s="817"/>
      <c r="T24" s="817"/>
      <c r="V24" s="808">
        <f>IF('1. oldal'!C105="",0,1)</f>
        <v>0</v>
      </c>
      <c r="W24" s="1299">
        <f>IF(V24=1,"3.  A 2012. adóévre, mint az egyszerűsített vállalkozói adó alanya az adóalap egyszerűsített ","")</f>
      </c>
      <c r="X24" s="1299"/>
      <c r="Y24" s="1299"/>
      <c r="Z24" s="1299"/>
      <c r="AA24" s="1299"/>
      <c r="AB24" s="1299"/>
      <c r="AC24" s="1299"/>
      <c r="AD24" s="1299"/>
      <c r="AE24" s="1299"/>
      <c r="AF24" s="1299"/>
      <c r="AG24" s="1299"/>
      <c r="AH24" s="1299"/>
      <c r="AI24" s="1299"/>
      <c r="AJ24" s="1299"/>
      <c r="AK24" s="1299"/>
      <c r="AL24" s="1299"/>
      <c r="AM24" s="1299"/>
      <c r="AN24" s="1299"/>
      <c r="AO24" s="1299"/>
    </row>
    <row r="25" spans="1:20" ht="30.75" customHeight="1">
      <c r="A25" s="831">
        <v>4</v>
      </c>
      <c r="B25" s="1291" t="s">
        <v>526</v>
      </c>
      <c r="C25" s="1291"/>
      <c r="D25" s="1291"/>
      <c r="E25" s="1291"/>
      <c r="F25" s="810"/>
      <c r="G25" s="810"/>
      <c r="H25" s="810"/>
      <c r="I25" s="810"/>
      <c r="J25" s="837">
        <f>ROUND((J24*0.2),0)</f>
        <v>0</v>
      </c>
      <c r="K25" s="1292"/>
      <c r="L25" s="1292"/>
      <c r="M25" s="1292"/>
      <c r="N25" s="817"/>
      <c r="O25" s="817"/>
      <c r="P25" s="820"/>
      <c r="Q25" s="817"/>
      <c r="R25" s="817"/>
      <c r="S25" s="817"/>
      <c r="T25" s="817"/>
    </row>
    <row r="26" spans="1:20" ht="24" customHeight="1" thickBot="1">
      <c r="A26" s="838">
        <v>5</v>
      </c>
      <c r="B26" s="1300" t="s">
        <v>527</v>
      </c>
      <c r="C26" s="1300"/>
      <c r="D26" s="1300"/>
      <c r="E26" s="1300"/>
      <c r="F26" s="839"/>
      <c r="G26" s="839"/>
      <c r="H26" s="839"/>
      <c r="I26" s="839"/>
      <c r="J26" s="840">
        <f>J24+J25</f>
        <v>0</v>
      </c>
      <c r="K26" s="1301"/>
      <c r="L26" s="1301"/>
      <c r="M26" s="1301"/>
      <c r="N26" s="817"/>
      <c r="O26" s="817"/>
      <c r="P26" s="820"/>
      <c r="Q26" s="817"/>
      <c r="R26" s="817"/>
      <c r="S26" s="817"/>
      <c r="T26" s="817"/>
    </row>
    <row r="27" spans="1:22" s="240" customFormat="1" ht="2.25" customHeight="1">
      <c r="A27" s="812"/>
      <c r="B27" s="807"/>
      <c r="C27" s="807"/>
      <c r="D27" s="807"/>
      <c r="E27" s="807"/>
      <c r="J27" s="842"/>
      <c r="K27" s="841"/>
      <c r="L27" s="841"/>
      <c r="M27" s="841"/>
      <c r="N27" s="817"/>
      <c r="O27" s="817"/>
      <c r="P27" s="820"/>
      <c r="Q27" s="817"/>
      <c r="R27" s="817"/>
      <c r="S27" s="817"/>
      <c r="T27" s="817"/>
      <c r="U27" s="814"/>
      <c r="V27" s="814"/>
    </row>
    <row r="28" spans="1:22" s="240" customFormat="1" ht="24" customHeight="1" thickBot="1">
      <c r="A28" s="812"/>
      <c r="B28" s="1294" t="s">
        <v>528</v>
      </c>
      <c r="C28" s="1294"/>
      <c r="D28" s="1294"/>
      <c r="E28" s="1294"/>
      <c r="J28" s="813"/>
      <c r="K28" s="1269"/>
      <c r="L28" s="1269"/>
      <c r="M28" s="1269"/>
      <c r="P28" s="255"/>
      <c r="U28" s="814"/>
      <c r="V28" s="814"/>
    </row>
    <row r="29" spans="1:28" ht="29.25" customHeight="1">
      <c r="A29" s="843" t="s">
        <v>254</v>
      </c>
      <c r="B29" s="1302" t="s">
        <v>529</v>
      </c>
      <c r="C29" s="1302"/>
      <c r="D29" s="1302"/>
      <c r="E29" s="1302"/>
      <c r="F29" s="844"/>
      <c r="G29" s="844"/>
      <c r="H29" s="844"/>
      <c r="I29" s="844"/>
      <c r="J29" s="824"/>
      <c r="K29" s="1296">
        <f>IF(V23=1," Kitöltendő","")</f>
      </c>
      <c r="L29" s="1297"/>
      <c r="M29" s="1297"/>
      <c r="P29" s="479">
        <f>IF(J29=ROUND((J29),0),"","Csak egész számot írhat be!")</f>
      </c>
      <c r="Q29" s="240"/>
      <c r="R29" s="240"/>
      <c r="S29" s="240">
        <f>IF(P29="",0,1)</f>
        <v>0</v>
      </c>
      <c r="U29" s="808">
        <f>IF(J29&gt;0,1,0)</f>
        <v>0</v>
      </c>
      <c r="Y29" s="325">
        <f>IF(K20="",0,1)</f>
        <v>0</v>
      </c>
      <c r="Z29" s="325">
        <f>IF(J20="",0,1)</f>
        <v>0</v>
      </c>
      <c r="AA29" s="325">
        <f>ABS(Y29-Z29)</f>
        <v>0</v>
      </c>
      <c r="AB29" s="325"/>
    </row>
    <row r="30" spans="1:28" ht="17.25" customHeight="1" thickBot="1">
      <c r="A30" s="845" t="s">
        <v>255</v>
      </c>
      <c r="B30" s="1303" t="s">
        <v>530</v>
      </c>
      <c r="C30" s="1303"/>
      <c r="D30" s="1303"/>
      <c r="E30" s="1303"/>
      <c r="F30" s="846"/>
      <c r="G30" s="846"/>
      <c r="H30" s="846"/>
      <c r="I30" s="846"/>
      <c r="J30" s="837">
        <f>ROUND((J29*0.8),0)</f>
        <v>0</v>
      </c>
      <c r="K30" s="1269"/>
      <c r="L30" s="1269"/>
      <c r="M30" s="1269"/>
      <c r="P30" s="479">
        <f>IF(J30=ROUND((J30),0),"","Csak egész számot írhat be!")</f>
      </c>
      <c r="Q30" s="240"/>
      <c r="R30" s="240"/>
      <c r="S30" s="240">
        <f>IF(P30="",0,1)</f>
        <v>0</v>
      </c>
      <c r="Y30" s="325">
        <f>IF(K29="",0,1)</f>
        <v>0</v>
      </c>
      <c r="Z30" s="325">
        <f>IF(J29="",0,1)</f>
        <v>0</v>
      </c>
      <c r="AA30" s="325">
        <f>ABS(Y30-Z30)</f>
        <v>0</v>
      </c>
      <c r="AB30" s="325"/>
    </row>
    <row r="31" spans="1:28" s="240" customFormat="1" ht="26.25" customHeight="1" thickBot="1">
      <c r="A31" s="812"/>
      <c r="B31" s="1294" t="s">
        <v>531</v>
      </c>
      <c r="C31" s="1294"/>
      <c r="D31" s="1294"/>
      <c r="E31" s="1294"/>
      <c r="J31" s="813"/>
      <c r="K31" s="1269"/>
      <c r="L31" s="1269"/>
      <c r="M31" s="1269"/>
      <c r="P31" s="255"/>
      <c r="U31" s="814"/>
      <c r="V31" s="814"/>
      <c r="Y31" s="425">
        <f>IF(K32="",0,1)</f>
        <v>0</v>
      </c>
      <c r="Z31" s="325">
        <f>IF(J32="",0,1)</f>
        <v>0</v>
      </c>
      <c r="AA31" s="325">
        <f>ABS(Y31-Z31)</f>
        <v>0</v>
      </c>
      <c r="AB31" s="425"/>
    </row>
    <row r="32" spans="1:28" ht="19.5" customHeight="1">
      <c r="A32" s="843" t="s">
        <v>257</v>
      </c>
      <c r="B32" s="1302" t="s">
        <v>532</v>
      </c>
      <c r="C32" s="1302"/>
      <c r="D32" s="1302"/>
      <c r="E32" s="1302"/>
      <c r="F32" s="844"/>
      <c r="G32" s="844"/>
      <c r="H32" s="844"/>
      <c r="I32" s="844"/>
      <c r="J32" s="824"/>
      <c r="K32" s="1296">
        <f>IF(V24=1," Kitöltendő","")</f>
      </c>
      <c r="L32" s="1297"/>
      <c r="M32" s="1297"/>
      <c r="P32" s="479">
        <f>IF(J32=ROUND((J32),0),"","Csak egész számot írhat be!")</f>
      </c>
      <c r="Q32" s="240"/>
      <c r="R32" s="240"/>
      <c r="S32" s="240">
        <f>IF(P32="",0,1)</f>
        <v>0</v>
      </c>
      <c r="U32" s="808">
        <f>IF(J32&gt;0,1,0)</f>
        <v>0</v>
      </c>
      <c r="Y32" s="325">
        <f>SUM(Y29:Y31)</f>
        <v>0</v>
      </c>
      <c r="Z32" s="325">
        <f>SUM(Z29:Z31)</f>
        <v>0</v>
      </c>
      <c r="AA32" s="325">
        <f>SUM(AA29:AA31)</f>
        <v>0</v>
      </c>
      <c r="AB32" s="325"/>
    </row>
    <row r="33" spans="1:19" ht="29.25" customHeight="1" thickBot="1">
      <c r="A33" s="845" t="s">
        <v>259</v>
      </c>
      <c r="B33" s="1303" t="s">
        <v>533</v>
      </c>
      <c r="C33" s="1303"/>
      <c r="D33" s="1303"/>
      <c r="E33" s="1303"/>
      <c r="F33" s="846"/>
      <c r="G33" s="846"/>
      <c r="H33" s="846"/>
      <c r="I33" s="846"/>
      <c r="J33" s="837">
        <f>ROUND((J32/2),0)</f>
        <v>0</v>
      </c>
      <c r="K33" s="1269"/>
      <c r="L33" s="1269"/>
      <c r="M33" s="1269"/>
      <c r="P33" s="479">
        <f>IF(J33=ROUND((J33),0),"","Csak egész számot írhat be!")</f>
      </c>
      <c r="Q33" s="240"/>
      <c r="R33" s="240"/>
      <c r="S33" s="240">
        <f>IF(P33="",0,1)</f>
        <v>0</v>
      </c>
    </row>
    <row r="34" spans="1:22" s="817" customFormat="1" ht="7.5" customHeight="1">
      <c r="A34" s="815"/>
      <c r="B34" s="1304"/>
      <c r="C34" s="1304"/>
      <c r="D34" s="1304"/>
      <c r="E34" s="1304"/>
      <c r="J34" s="848"/>
      <c r="K34" s="1292"/>
      <c r="L34" s="1292"/>
      <c r="M34" s="1292"/>
      <c r="P34" s="820">
        <f>IF(J34=ROUND((J34),0),"","Csak egész számot írhat be!")</f>
      </c>
      <c r="S34" s="817">
        <f>IF(P34="",0,1)</f>
        <v>0</v>
      </c>
      <c r="U34" s="821"/>
      <c r="V34" s="821"/>
    </row>
    <row r="35" spans="1:22" s="817" customFormat="1" ht="10.5" customHeight="1" hidden="1">
      <c r="A35" s="815"/>
      <c r="B35" s="847"/>
      <c r="C35" s="847"/>
      <c r="D35" s="847"/>
      <c r="E35" s="847"/>
      <c r="J35" s="848"/>
      <c r="K35" s="819"/>
      <c r="L35" s="819"/>
      <c r="M35" s="819"/>
      <c r="P35" s="820"/>
      <c r="U35" s="821"/>
      <c r="V35" s="821"/>
    </row>
    <row r="36" ht="4.5" customHeight="1" hidden="1"/>
    <row r="37" ht="3.75" customHeight="1" hidden="1"/>
    <row r="38" spans="1:13" ht="15.75">
      <c r="A38" s="1276" t="str">
        <f>IF('2. oldal'!B81="","",'2. oldal'!B81)</f>
        <v>Szabadszállás</v>
      </c>
      <c r="B38" s="1276"/>
      <c r="C38" s="1276"/>
      <c r="D38" s="427">
        <f>IF('2. oldal'!E81="","",'2. oldal'!E81)</f>
        <v>2013</v>
      </c>
      <c r="E38" s="486" t="s">
        <v>134</v>
      </c>
      <c r="F38" s="486"/>
      <c r="G38" s="486"/>
      <c r="H38" s="486"/>
      <c r="I38" s="486"/>
      <c r="J38" s="427">
        <f>IF('2. oldal'!H81="","",'2. oldal'!H81)</f>
      </c>
      <c r="K38" s="486" t="s">
        <v>135</v>
      </c>
      <c r="L38" s="427">
        <f>IF('2. oldal'!N81="","",'2. oldal'!N81)</f>
      </c>
      <c r="M38" s="250" t="s">
        <v>210</v>
      </c>
    </row>
    <row r="39" ht="5.25" customHeight="1"/>
    <row r="40" spans="4:13" ht="10.5" customHeight="1"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4:13" ht="15">
      <c r="D41" s="487"/>
      <c r="E41" s="487"/>
      <c r="F41" s="487"/>
      <c r="G41" s="487"/>
      <c r="H41" s="487"/>
      <c r="I41" s="487"/>
      <c r="J41" s="487"/>
      <c r="K41" s="487"/>
      <c r="L41" s="487"/>
      <c r="M41" s="488"/>
    </row>
    <row r="42" spans="1:13" ht="15">
      <c r="A42" s="298"/>
      <c r="B42" s="479"/>
      <c r="D42" s="1277" t="s">
        <v>534</v>
      </c>
      <c r="E42" s="1277"/>
      <c r="F42" s="1277"/>
      <c r="G42" s="1277"/>
      <c r="H42" s="1277"/>
      <c r="I42" s="1277"/>
      <c r="J42" s="1277"/>
      <c r="K42" s="1277"/>
      <c r="L42" s="1277"/>
      <c r="M42" s="1277"/>
    </row>
    <row r="43" spans="1:2" ht="15" hidden="1">
      <c r="A43" s="298"/>
      <c r="B43" s="479"/>
    </row>
    <row r="44" spans="1:2" ht="15" hidden="1">
      <c r="A44" s="298"/>
      <c r="B44" s="479"/>
    </row>
    <row r="45" spans="1:2" ht="8.25" customHeight="1" hidden="1">
      <c r="A45" s="298"/>
      <c r="B45" s="479"/>
    </row>
    <row r="46" spans="1:2" ht="15" hidden="1">
      <c r="A46" s="298"/>
      <c r="B46" s="479"/>
    </row>
    <row r="47" spans="1:2" ht="15" hidden="1">
      <c r="A47" s="298"/>
      <c r="B47" s="479"/>
    </row>
    <row r="48" spans="1:2" ht="15" hidden="1">
      <c r="A48" s="298"/>
      <c r="B48" s="479"/>
    </row>
    <row r="49" spans="1:2" ht="15" hidden="1">
      <c r="A49" s="298"/>
      <c r="B49" s="235"/>
    </row>
    <row r="50" spans="1:2" ht="15">
      <c r="A50" s="1115">
        <f>IF(U32+U29+U20&gt;1,1,0)</f>
        <v>0</v>
      </c>
      <c r="B50" s="235">
        <f>IF(A50=0,"","Csak egy adózási módot választhat!")</f>
      </c>
    </row>
    <row r="51" spans="1:2" ht="15">
      <c r="A51" s="1115">
        <v>0</v>
      </c>
      <c r="B51" s="235">
        <f>IF(AA32=0,"","Nem a megfelelő bevétel cellát töltötte ki!")</f>
      </c>
    </row>
    <row r="52" spans="1:2" ht="3.75" customHeight="1">
      <c r="A52" s="298"/>
      <c r="B52" s="235"/>
    </row>
    <row r="53" spans="1:2" ht="15" hidden="1">
      <c r="A53" s="298"/>
      <c r="B53" s="235"/>
    </row>
    <row r="54" spans="1:2" ht="15" hidden="1">
      <c r="A54" s="298"/>
      <c r="B54" s="235"/>
    </row>
    <row r="55" spans="1:13" ht="15.75">
      <c r="A55" s="298">
        <f>SUM(A49:A54)</f>
        <v>0</v>
      </c>
      <c r="B55" s="301" t="str">
        <f>IF(A55=0," E L L E N Ő R Z Ö T T "," H I B Á S")</f>
        <v> E L L E N Ő R Z Ö T T </v>
      </c>
      <c r="D55" s="334" t="str">
        <f>'1. oldal'!M131</f>
        <v> VAN HIBÁS LAP !</v>
      </c>
      <c r="M55" s="335">
        <f>IF(B55=" E L L E N Ő R Z Ö T T ",0,1)</f>
        <v>0</v>
      </c>
    </row>
    <row r="57" spans="1:3" ht="31.5" customHeight="1">
      <c r="A57" s="489"/>
      <c r="C57" s="490"/>
    </row>
  </sheetData>
  <sheetProtection password="C21D" sheet="1" objects="1" scenarios="1"/>
  <mergeCells count="49">
    <mergeCell ref="A38:C38"/>
    <mergeCell ref="D42:M42"/>
    <mergeCell ref="A13:N13"/>
    <mergeCell ref="B33:E33"/>
    <mergeCell ref="K33:M33"/>
    <mergeCell ref="B34:E34"/>
    <mergeCell ref="K34:M34"/>
    <mergeCell ref="B31:E31"/>
    <mergeCell ref="K31:M31"/>
    <mergeCell ref="B32:E32"/>
    <mergeCell ref="K32:M32"/>
    <mergeCell ref="B29:E29"/>
    <mergeCell ref="K29:M29"/>
    <mergeCell ref="B30:E30"/>
    <mergeCell ref="K30:M30"/>
    <mergeCell ref="B26:E26"/>
    <mergeCell ref="K26:M26"/>
    <mergeCell ref="B28:E28"/>
    <mergeCell ref="K28:M28"/>
    <mergeCell ref="B24:E24"/>
    <mergeCell ref="K24:M24"/>
    <mergeCell ref="W24:AO24"/>
    <mergeCell ref="K22:M22"/>
    <mergeCell ref="B21:E21"/>
    <mergeCell ref="B22:E22"/>
    <mergeCell ref="W22:AO22"/>
    <mergeCell ref="B23:E23"/>
    <mergeCell ref="K23:M23"/>
    <mergeCell ref="W23:AO23"/>
    <mergeCell ref="A14:B14"/>
    <mergeCell ref="C14:M14"/>
    <mergeCell ref="B25:E25"/>
    <mergeCell ref="K25:M25"/>
    <mergeCell ref="A17:E17"/>
    <mergeCell ref="K17:M17"/>
    <mergeCell ref="B18:E18"/>
    <mergeCell ref="K18:M18"/>
    <mergeCell ref="B20:E20"/>
    <mergeCell ref="K20:M20"/>
    <mergeCell ref="A15:D15"/>
    <mergeCell ref="E15:M15"/>
    <mergeCell ref="A2:M2"/>
    <mergeCell ref="A6:M6"/>
    <mergeCell ref="A7:M7"/>
    <mergeCell ref="A8:M8"/>
    <mergeCell ref="A9:M9"/>
    <mergeCell ref="A11:C11"/>
    <mergeCell ref="D11:M11"/>
    <mergeCell ref="A12:C12"/>
  </mergeCells>
  <printOptions/>
  <pageMargins left="0.64" right="0.64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DoczyA</cp:lastModifiedBy>
  <cp:lastPrinted>2013-02-02T22:14:31Z</cp:lastPrinted>
  <dcterms:created xsi:type="dcterms:W3CDTF">2009-12-14T09:18:04Z</dcterms:created>
  <dcterms:modified xsi:type="dcterms:W3CDTF">2013-04-25T07:40:48Z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